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สัณสนี\SANSANEE\1.ตาล\1.รายงาน\1.ประจำเดือน\6.รายงานทุนวิจัยภายนอก\"/>
    </mc:Choice>
  </mc:AlternateContent>
  <bookViews>
    <workbookView xWindow="0" yWindow="0" windowWidth="28800" windowHeight="11700" tabRatio="921"/>
  </bookViews>
  <sheets>
    <sheet name="ปีงปม.67สรุป100%(ณ30กย67)" sheetId="16" r:id="rId1"/>
    <sheet name="ปีงปม.67สรุป(ณ30กย67)" sheetId="15" r:id="rId2"/>
    <sheet name="ปีงปม.67รายละเอียด(ณ30กย67)" sheetId="14" r:id="rId3"/>
    <sheet name="ปีงปม.66สรุป" sheetId="13" r:id="rId4"/>
    <sheet name="ปีงปม.66รายละเอียด" sheetId="12" r:id="rId5"/>
    <sheet name="ปีงปม.65สรุป" sheetId="11" r:id="rId6"/>
    <sheet name="ปีงปม.65รายละเอียด" sheetId="4" r:id="rId7"/>
    <sheet name="ปีงปม.64สรุป" sheetId="17" r:id="rId8"/>
    <sheet name="ปีงปม.64 รายละเอียด" sheetId="5" r:id="rId9"/>
    <sheet name="ปีงปม.63" sheetId="6" r:id="rId10"/>
    <sheet name="ปีงปม.62" sheetId="7" r:id="rId11"/>
    <sheet name="ปีงปม.61" sheetId="8" r:id="rId12"/>
    <sheet name="ปีงปม.60" sheetId="2" r:id="rId13"/>
    <sheet name="ปีงปม.59" sheetId="1" r:id="rId14"/>
    <sheet name="ปีงปม.58" sheetId="10" r:id="rId15"/>
    <sheet name="เริ่มเก็บ22กย57" sheetId="9" r:id="rId1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3" i="14" l="1"/>
  <c r="O162" i="14" s="1"/>
  <c r="M162" i="14"/>
  <c r="L162" i="14"/>
  <c r="K162" i="14"/>
  <c r="J162" i="14"/>
  <c r="I162" i="14"/>
  <c r="O161" i="14"/>
  <c r="O160" i="14"/>
  <c r="O159" i="14"/>
  <c r="O158" i="14"/>
  <c r="M158" i="14"/>
  <c r="L158" i="14"/>
  <c r="K158" i="14"/>
  <c r="J158" i="14"/>
  <c r="I158" i="14"/>
  <c r="O157" i="14"/>
  <c r="O156" i="14"/>
  <c r="O155" i="14"/>
  <c r="O154" i="14" s="1"/>
  <c r="M154" i="14"/>
  <c r="L154" i="14"/>
  <c r="K154" i="14"/>
  <c r="J154" i="14"/>
  <c r="I154" i="14"/>
  <c r="O153" i="14"/>
  <c r="O152" i="14"/>
  <c r="O151" i="14"/>
  <c r="O150" i="14"/>
  <c r="O149" i="14"/>
  <c r="O148" i="14"/>
  <c r="O146" i="14" s="1"/>
  <c r="O147" i="14"/>
  <c r="M146" i="14"/>
  <c r="L146" i="14"/>
  <c r="K146" i="14"/>
  <c r="J146" i="14"/>
  <c r="I146" i="14"/>
  <c r="O145" i="14"/>
  <c r="O144" i="14" s="1"/>
  <c r="M144" i="14"/>
  <c r="L144" i="14"/>
  <c r="K144" i="14"/>
  <c r="J144" i="14"/>
  <c r="I144" i="14"/>
  <c r="O143" i="14"/>
  <c r="O142" i="14"/>
  <c r="O141" i="14"/>
  <c r="O140" i="14"/>
  <c r="O139" i="14"/>
  <c r="O138" i="14"/>
  <c r="O137" i="14" s="1"/>
  <c r="M137" i="14"/>
  <c r="L137" i="14"/>
  <c r="K137" i="14"/>
  <c r="J137" i="14"/>
  <c r="I137" i="14"/>
  <c r="O136" i="14"/>
  <c r="O135" i="14"/>
  <c r="M135" i="14"/>
  <c r="L135" i="14"/>
  <c r="K135" i="14"/>
  <c r="J135" i="14"/>
  <c r="I135" i="14"/>
  <c r="O134" i="14"/>
  <c r="O133" i="14"/>
  <c r="O132" i="14"/>
  <c r="O131" i="14"/>
  <c r="O130" i="14"/>
  <c r="O129" i="14"/>
  <c r="O128" i="14"/>
  <c r="O127" i="14"/>
  <c r="O126" i="14"/>
  <c r="O125" i="14"/>
  <c r="O124" i="14"/>
  <c r="O123" i="14"/>
  <c r="O122" i="14"/>
  <c r="O121" i="14"/>
  <c r="O120" i="14"/>
  <c r="O119" i="14"/>
  <c r="O118" i="14"/>
  <c r="O117" i="14"/>
  <c r="O116" i="14"/>
  <c r="O115" i="14"/>
  <c r="O114" i="14"/>
  <c r="M114" i="14"/>
  <c r="L114" i="14"/>
  <c r="K114" i="14"/>
  <c r="J114" i="14"/>
  <c r="I114" i="14"/>
  <c r="O113" i="14"/>
  <c r="O112" i="14"/>
  <c r="O111" i="14"/>
  <c r="O110" i="14"/>
  <c r="O109" i="14"/>
  <c r="O108" i="14"/>
  <c r="O107" i="14"/>
  <c r="O106" i="14"/>
  <c r="O105" i="14"/>
  <c r="O104" i="14"/>
  <c r="O103" i="14"/>
  <c r="O102" i="14" s="1"/>
  <c r="M102" i="14"/>
  <c r="L102" i="14"/>
  <c r="K102" i="14"/>
  <c r="J102" i="14"/>
  <c r="I102" i="14"/>
  <c r="O101" i="14"/>
  <c r="O100" i="14"/>
  <c r="O99" i="14"/>
  <c r="O98" i="14"/>
  <c r="O97" i="14" s="1"/>
  <c r="M97" i="14"/>
  <c r="L97" i="14"/>
  <c r="K97" i="14"/>
  <c r="J97" i="14"/>
  <c r="I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59" i="14" s="1"/>
  <c r="O62" i="14"/>
  <c r="O61" i="14"/>
  <c r="O60" i="14"/>
  <c r="M59" i="14"/>
  <c r="L59" i="14"/>
  <c r="K59" i="14"/>
  <c r="J59" i="14"/>
  <c r="I59" i="14"/>
  <c r="O58" i="14"/>
  <c r="O57" i="14"/>
  <c r="O56" i="14"/>
  <c r="O55" i="14" s="1"/>
  <c r="M55" i="14"/>
  <c r="L55" i="14"/>
  <c r="K55" i="14"/>
  <c r="J55" i="14"/>
  <c r="I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s="1"/>
  <c r="M30" i="14"/>
  <c r="L30" i="14"/>
  <c r="K30" i="14"/>
  <c r="J30" i="14"/>
  <c r="I30" i="14"/>
  <c r="O29" i="14"/>
  <c r="O28" i="14"/>
  <c r="O27" i="14"/>
  <c r="O26" i="14"/>
  <c r="M26" i="14"/>
  <c r="L26" i="14"/>
  <c r="L164" i="14" s="1"/>
  <c r="K26" i="14"/>
  <c r="J26" i="14"/>
  <c r="I26" i="14"/>
  <c r="O25" i="14"/>
  <c r="O24" i="14"/>
  <c r="O23" i="14"/>
  <c r="O22" i="14"/>
  <c r="O21" i="14"/>
  <c r="O20" i="14"/>
  <c r="O19" i="14"/>
  <c r="O18" i="14"/>
  <c r="O17" i="14"/>
  <c r="O16" i="14" s="1"/>
  <c r="M16" i="14"/>
  <c r="L16" i="14"/>
  <c r="K16" i="14"/>
  <c r="J16" i="14"/>
  <c r="I16" i="14"/>
  <c r="O15" i="14"/>
  <c r="O14" i="14"/>
  <c r="O13" i="14"/>
  <c r="O12" i="14"/>
  <c r="O11" i="14"/>
  <c r="O10" i="14"/>
  <c r="O9" i="14"/>
  <c r="O8" i="14"/>
  <c r="M8" i="14"/>
  <c r="M164" i="14" s="1"/>
  <c r="L8" i="14"/>
  <c r="K8" i="14"/>
  <c r="K164" i="14" s="1"/>
  <c r="J8" i="14"/>
  <c r="J164" i="14" s="1"/>
  <c r="I8" i="14"/>
  <c r="I164" i="14" s="1"/>
  <c r="I24" i="15"/>
  <c r="G24" i="15"/>
  <c r="F24" i="15"/>
  <c r="E24" i="15"/>
  <c r="D24" i="15"/>
  <c r="C24" i="15"/>
  <c r="N23" i="16"/>
  <c r="M23" i="16"/>
  <c r="L23" i="16"/>
  <c r="K23" i="16"/>
  <c r="J23" i="16"/>
  <c r="I23" i="16"/>
  <c r="H23" i="16"/>
  <c r="G23" i="16"/>
  <c r="E23" i="16"/>
  <c r="D23" i="16"/>
  <c r="C23" i="16"/>
  <c r="O22" i="16"/>
  <c r="O21" i="16"/>
  <c r="O20" i="16"/>
  <c r="O19" i="16"/>
  <c r="O18" i="16"/>
  <c r="O17" i="16"/>
  <c r="O16" i="16"/>
  <c r="O15" i="16"/>
  <c r="O14" i="16"/>
  <c r="O13" i="16"/>
  <c r="O12" i="16"/>
  <c r="O11" i="16"/>
  <c r="H10" i="16"/>
  <c r="F10" i="16"/>
  <c r="F23" i="16" s="1"/>
  <c r="O9" i="16"/>
  <c r="O8" i="16"/>
  <c r="O7" i="16"/>
  <c r="O164" i="14" l="1"/>
  <c r="O10" i="16"/>
  <c r="O23" i="16" s="1"/>
  <c r="D19" i="17"/>
  <c r="E19" i="17"/>
  <c r="F19" i="17"/>
  <c r="G19" i="17"/>
  <c r="H19" i="17"/>
  <c r="I19" i="17"/>
  <c r="C19" i="17"/>
  <c r="J115" i="5"/>
  <c r="K115" i="5"/>
  <c r="L115" i="5"/>
  <c r="M115" i="5"/>
  <c r="N115" i="5"/>
  <c r="O115" i="5"/>
  <c r="I115" i="5"/>
  <c r="J112" i="5"/>
  <c r="K112" i="5"/>
  <c r="L112" i="5"/>
  <c r="M112" i="5"/>
  <c r="N112" i="5"/>
  <c r="O112" i="5"/>
  <c r="I112" i="5"/>
  <c r="J108" i="5"/>
  <c r="K108" i="5"/>
  <c r="L108" i="5"/>
  <c r="M108" i="5"/>
  <c r="N108" i="5"/>
  <c r="O108" i="5"/>
  <c r="I108" i="5"/>
  <c r="J100" i="5"/>
  <c r="K100" i="5"/>
  <c r="L100" i="5"/>
  <c r="M100" i="5"/>
  <c r="N100" i="5"/>
  <c r="O100" i="5"/>
  <c r="I100" i="5"/>
  <c r="J72" i="5"/>
  <c r="K72" i="5"/>
  <c r="L72" i="5"/>
  <c r="M72" i="5"/>
  <c r="N72" i="5"/>
  <c r="O72" i="5"/>
  <c r="I72" i="5"/>
  <c r="I57" i="5"/>
  <c r="J57" i="5"/>
  <c r="K57" i="5"/>
  <c r="L57" i="5"/>
  <c r="M57" i="5"/>
  <c r="N57" i="5"/>
  <c r="O57" i="5"/>
  <c r="J55" i="5"/>
  <c r="K55" i="5"/>
  <c r="L55" i="5"/>
  <c r="M55" i="5"/>
  <c r="N55" i="5"/>
  <c r="O55" i="5"/>
  <c r="I55" i="5"/>
  <c r="J36" i="5"/>
  <c r="K36" i="5"/>
  <c r="L36" i="5"/>
  <c r="M36" i="5"/>
  <c r="N36" i="5"/>
  <c r="O36" i="5"/>
  <c r="I36" i="5"/>
  <c r="J27" i="5"/>
  <c r="K27" i="5"/>
  <c r="L27" i="5"/>
  <c r="M27" i="5"/>
  <c r="N27" i="5"/>
  <c r="O27" i="5"/>
  <c r="I27" i="5"/>
  <c r="J18" i="5"/>
  <c r="K18" i="5"/>
  <c r="L18" i="5"/>
  <c r="M18" i="5"/>
  <c r="N18" i="5"/>
  <c r="O18" i="5"/>
  <c r="I18" i="5"/>
  <c r="J15" i="5"/>
  <c r="K15" i="5"/>
  <c r="L15" i="5"/>
  <c r="M15" i="5"/>
  <c r="N15" i="5"/>
  <c r="O15" i="5"/>
  <c r="I15" i="5"/>
  <c r="J8" i="5"/>
  <c r="K8" i="5"/>
  <c r="L8" i="5"/>
  <c r="M8" i="5"/>
  <c r="N8" i="5"/>
  <c r="O8" i="5"/>
  <c r="I8" i="5"/>
  <c r="O148" i="12" l="1"/>
  <c r="O146" i="12" s="1"/>
  <c r="O147" i="12"/>
  <c r="N146" i="12"/>
  <c r="M146" i="12"/>
  <c r="L146" i="12"/>
  <c r="K146" i="12"/>
  <c r="J146" i="12"/>
  <c r="I146" i="12"/>
  <c r="O145" i="12"/>
  <c r="O144" i="12"/>
  <c r="N144" i="12"/>
  <c r="M144" i="12"/>
  <c r="L144" i="12"/>
  <c r="K144" i="12"/>
  <c r="J144" i="12"/>
  <c r="I144" i="12"/>
  <c r="O143" i="12"/>
  <c r="O142" i="12"/>
  <c r="O141" i="12"/>
  <c r="O140" i="12"/>
  <c r="O138" i="12" s="1"/>
  <c r="O139" i="12"/>
  <c r="N138" i="12"/>
  <c r="M138" i="12"/>
  <c r="L138" i="12"/>
  <c r="K138" i="12"/>
  <c r="J138" i="12"/>
  <c r="I138" i="12"/>
  <c r="O137" i="12"/>
  <c r="O136" i="12"/>
  <c r="O135" i="12" s="1"/>
  <c r="N135" i="12"/>
  <c r="M135" i="12"/>
  <c r="L135" i="12"/>
  <c r="K135" i="12"/>
  <c r="J135" i="12"/>
  <c r="I135" i="12"/>
  <c r="O134" i="12"/>
  <c r="O133" i="12"/>
  <c r="O132" i="12"/>
  <c r="O131" i="12" s="1"/>
  <c r="N131" i="12"/>
  <c r="M131" i="12"/>
  <c r="L131" i="12"/>
  <c r="K131" i="12"/>
  <c r="J131" i="12"/>
  <c r="I131" i="12"/>
  <c r="O130" i="12"/>
  <c r="O129" i="12"/>
  <c r="O128" i="12"/>
  <c r="O127" i="12"/>
  <c r="O126" i="12"/>
  <c r="O124" i="12" s="1"/>
  <c r="O125" i="12"/>
  <c r="N124" i="12"/>
  <c r="M124" i="12"/>
  <c r="L124" i="12"/>
  <c r="K124" i="12"/>
  <c r="J124" i="12"/>
  <c r="I124" i="12"/>
  <c r="O123" i="12"/>
  <c r="O122" i="12"/>
  <c r="O121" i="12"/>
  <c r="O120" i="12"/>
  <c r="I119" i="12"/>
  <c r="O119" i="12" s="1"/>
  <c r="O118" i="12"/>
  <c r="O117" i="12"/>
  <c r="N116" i="12"/>
  <c r="M116" i="12"/>
  <c r="L116" i="12"/>
  <c r="K116" i="12"/>
  <c r="J116" i="12"/>
  <c r="I116" i="12"/>
  <c r="O115" i="12"/>
  <c r="O114" i="12"/>
  <c r="O113" i="12"/>
  <c r="O112" i="12"/>
  <c r="O111" i="12"/>
  <c r="O110" i="12"/>
  <c r="O109" i="12"/>
  <c r="O108" i="12"/>
  <c r="O107" i="12"/>
  <c r="O106" i="12"/>
  <c r="O105" i="12"/>
  <c r="O104" i="12"/>
  <c r="O103" i="12"/>
  <c r="I102" i="12"/>
  <c r="O102" i="12" s="1"/>
  <c r="O101" i="12"/>
  <c r="O100" i="12"/>
  <c r="I100" i="12"/>
  <c r="O99" i="12"/>
  <c r="I99" i="12"/>
  <c r="O98" i="12"/>
  <c r="I97" i="12"/>
  <c r="O97" i="12" s="1"/>
  <c r="O95" i="12" s="1"/>
  <c r="O96" i="12"/>
  <c r="N95" i="12"/>
  <c r="M95" i="12"/>
  <c r="L95" i="12"/>
  <c r="K95" i="12"/>
  <c r="J95" i="12"/>
  <c r="I95" i="12"/>
  <c r="O94" i="12"/>
  <c r="O93" i="12"/>
  <c r="O92" i="12"/>
  <c r="O91" i="12"/>
  <c r="O90" i="12"/>
  <c r="O89" i="12"/>
  <c r="O88" i="12"/>
  <c r="O87" i="12"/>
  <c r="O86" i="12"/>
  <c r="O85" i="12"/>
  <c r="N85" i="12"/>
  <c r="M85" i="12"/>
  <c r="L85" i="12"/>
  <c r="K85" i="12"/>
  <c r="J85" i="12"/>
  <c r="I85" i="12"/>
  <c r="O84" i="12"/>
  <c r="O83" i="12"/>
  <c r="O81" i="12" s="1"/>
  <c r="O82" i="12"/>
  <c r="N81" i="12"/>
  <c r="M81" i="12"/>
  <c r="L81" i="12"/>
  <c r="K81" i="12"/>
  <c r="J81" i="12"/>
  <c r="I81" i="12"/>
  <c r="O80" i="12"/>
  <c r="O79" i="12"/>
  <c r="O78" i="12"/>
  <c r="O77" i="12"/>
  <c r="I76" i="12"/>
  <c r="O76" i="12" s="1"/>
  <c r="I75" i="12"/>
  <c r="I74" i="12" s="1"/>
  <c r="N74" i="12"/>
  <c r="M74" i="12"/>
  <c r="L74" i="12"/>
  <c r="K74" i="12"/>
  <c r="J74" i="12"/>
  <c r="O73" i="12"/>
  <c r="O72" i="12"/>
  <c r="O71" i="12"/>
  <c r="O70" i="12"/>
  <c r="O69" i="12"/>
  <c r="O68" i="12"/>
  <c r="I67" i="12"/>
  <c r="O67" i="12" s="1"/>
  <c r="O66" i="12"/>
  <c r="I66" i="12"/>
  <c r="O65" i="12"/>
  <c r="O64" i="12"/>
  <c r="O63" i="12"/>
  <c r="O62" i="12"/>
  <c r="O61" i="12"/>
  <c r="O60" i="12"/>
  <c r="O59" i="12"/>
  <c r="O58" i="12"/>
  <c r="O57" i="12"/>
  <c r="O56" i="12"/>
  <c r="O55" i="12"/>
  <c r="O54" i="12"/>
  <c r="O53" i="12"/>
  <c r="O52" i="12"/>
  <c r="O51" i="12"/>
  <c r="O50" i="12"/>
  <c r="O49" i="12"/>
  <c r="O48" i="12"/>
  <c r="O47" i="12"/>
  <c r="I46" i="12"/>
  <c r="O46" i="12" s="1"/>
  <c r="O45" i="12" s="1"/>
  <c r="N45" i="12"/>
  <c r="M45" i="12"/>
  <c r="L45" i="12"/>
  <c r="K45" i="12"/>
  <c r="J45" i="12"/>
  <c r="O44" i="12"/>
  <c r="O43" i="12"/>
  <c r="O42" i="12"/>
  <c r="O40" i="12" s="1"/>
  <c r="I42" i="12"/>
  <c r="O41" i="12"/>
  <c r="I41" i="12"/>
  <c r="N40" i="12"/>
  <c r="M40" i="12"/>
  <c r="L40" i="12"/>
  <c r="K40" i="12"/>
  <c r="J40" i="12"/>
  <c r="I40" i="12"/>
  <c r="O39" i="12"/>
  <c r="O38" i="12"/>
  <c r="O37" i="12"/>
  <c r="O36" i="12"/>
  <c r="O35" i="12"/>
  <c r="O34" i="12"/>
  <c r="O33" i="12"/>
  <c r="O32" i="12"/>
  <c r="O31" i="12"/>
  <c r="O30" i="12"/>
  <c r="I29" i="12"/>
  <c r="O29" i="12" s="1"/>
  <c r="O28" i="12"/>
  <c r="O27" i="12"/>
  <c r="O26" i="12"/>
  <c r="O25" i="12"/>
  <c r="O24" i="12"/>
  <c r="O23" i="12"/>
  <c r="I23" i="12"/>
  <c r="O22" i="12"/>
  <c r="O21" i="12"/>
  <c r="O20" i="12"/>
  <c r="O18" i="12" s="1"/>
  <c r="O19" i="12"/>
  <c r="N18" i="12"/>
  <c r="M18" i="12"/>
  <c r="L18" i="12"/>
  <c r="K18" i="12"/>
  <c r="J18" i="12"/>
  <c r="I18" i="12"/>
  <c r="O17" i="12"/>
  <c r="O16" i="12"/>
  <c r="N16" i="12"/>
  <c r="M16" i="12"/>
  <c r="L16" i="12"/>
  <c r="K16" i="12"/>
  <c r="J16" i="12"/>
  <c r="I16" i="12"/>
  <c r="O15" i="12"/>
  <c r="O14" i="12"/>
  <c r="N14" i="12"/>
  <c r="M14" i="12"/>
  <c r="M149" i="12" s="1"/>
  <c r="M152" i="12" s="1"/>
  <c r="L14" i="12"/>
  <c r="K14" i="12"/>
  <c r="J14" i="12"/>
  <c r="I14" i="12"/>
  <c r="O13" i="12"/>
  <c r="O12" i="12"/>
  <c r="I12" i="12"/>
  <c r="O11" i="12"/>
  <c r="O10" i="12"/>
  <c r="O9" i="12"/>
  <c r="O8" i="12"/>
  <c r="N8" i="12"/>
  <c r="N149" i="12" s="1"/>
  <c r="N152" i="12" s="1"/>
  <c r="M8" i="12"/>
  <c r="L8" i="12"/>
  <c r="L149" i="12" s="1"/>
  <c r="L152" i="12" s="1"/>
  <c r="K8" i="12"/>
  <c r="K149" i="12" s="1"/>
  <c r="K152" i="12" s="1"/>
  <c r="J8" i="12"/>
  <c r="J149" i="12" s="1"/>
  <c r="J152" i="12" s="1"/>
  <c r="I8" i="12"/>
  <c r="I25" i="13"/>
  <c r="H25" i="13"/>
  <c r="G25" i="13"/>
  <c r="F25" i="13"/>
  <c r="E25" i="13"/>
  <c r="D25" i="13"/>
  <c r="C25" i="13"/>
  <c r="O116" i="12" l="1"/>
  <c r="O75" i="12"/>
  <c r="O74" i="12" s="1"/>
  <c r="O149" i="12" s="1"/>
  <c r="O152" i="12" s="1"/>
  <c r="I45" i="12"/>
  <c r="I149" i="12" s="1"/>
  <c r="I152" i="12" s="1"/>
  <c r="I139" i="4"/>
  <c r="O139" i="4" s="1"/>
  <c r="O138" i="4" s="1"/>
  <c r="N138" i="4"/>
  <c r="M138" i="4"/>
  <c r="L138" i="4"/>
  <c r="K138" i="4"/>
  <c r="J138" i="4"/>
  <c r="O137" i="4"/>
  <c r="O135" i="4" s="1"/>
  <c r="O136" i="4"/>
  <c r="N135" i="4"/>
  <c r="M135" i="4"/>
  <c r="L135" i="4"/>
  <c r="K135" i="4"/>
  <c r="J135" i="4"/>
  <c r="I135" i="4"/>
  <c r="O134" i="4"/>
  <c r="O133" i="4"/>
  <c r="O132" i="4"/>
  <c r="O131" i="4"/>
  <c r="O130" i="4"/>
  <c r="O129" i="4"/>
  <c r="O128" i="4"/>
  <c r="O127" i="4"/>
  <c r="N127" i="4"/>
  <c r="M127" i="4"/>
  <c r="L127" i="4"/>
  <c r="K127" i="4"/>
  <c r="J127" i="4"/>
  <c r="I127" i="4"/>
  <c r="O126" i="4"/>
  <c r="O125" i="4"/>
  <c r="O124" i="4"/>
  <c r="O123" i="4"/>
  <c r="O122" i="4"/>
  <c r="O120" i="4" s="1"/>
  <c r="O121" i="4"/>
  <c r="N120" i="4"/>
  <c r="M120" i="4"/>
  <c r="L120" i="4"/>
  <c r="K120" i="4"/>
  <c r="J120" i="4"/>
  <c r="I120" i="4"/>
  <c r="O119" i="4"/>
  <c r="O118" i="4"/>
  <c r="I117" i="4"/>
  <c r="O117" i="4" s="1"/>
  <c r="O116" i="4"/>
  <c r="O115" i="4"/>
  <c r="O114" i="4"/>
  <c r="O113" i="4"/>
  <c r="O112" i="4"/>
  <c r="K111" i="4"/>
  <c r="J111" i="4"/>
  <c r="I111" i="4"/>
  <c r="O111" i="4" s="1"/>
  <c r="O110" i="4"/>
  <c r="O109" i="4"/>
  <c r="O108" i="4"/>
  <c r="K108" i="4"/>
  <c r="J108" i="4"/>
  <c r="I108" i="4"/>
  <c r="I107" i="4"/>
  <c r="I103" i="4" s="1"/>
  <c r="K106" i="4"/>
  <c r="J106" i="4"/>
  <c r="O106" i="4" s="1"/>
  <c r="I106" i="4"/>
  <c r="O105" i="4"/>
  <c r="O104" i="4"/>
  <c r="N103" i="4"/>
  <c r="M103" i="4"/>
  <c r="L103" i="4"/>
  <c r="K103" i="4"/>
  <c r="O102" i="4"/>
  <c r="O101" i="4"/>
  <c r="O100" i="4"/>
  <c r="O99" i="4"/>
  <c r="I98" i="4"/>
  <c r="O98" i="4" s="1"/>
  <c r="I97" i="4"/>
  <c r="O97" i="4" s="1"/>
  <c r="O96" i="4"/>
  <c r="O95" i="4"/>
  <c r="O94" i="4"/>
  <c r="O93" i="4"/>
  <c r="O92" i="4"/>
  <c r="O91" i="4"/>
  <c r="O90" i="4"/>
  <c r="O89" i="4"/>
  <c r="O88" i="4"/>
  <c r="O87" i="4"/>
  <c r="O86" i="4"/>
  <c r="O85" i="4"/>
  <c r="N84" i="4"/>
  <c r="M84" i="4"/>
  <c r="L84" i="4"/>
  <c r="K84" i="4"/>
  <c r="J84" i="4"/>
  <c r="I84" i="4"/>
  <c r="O83" i="4"/>
  <c r="O82" i="4"/>
  <c r="O81" i="4"/>
  <c r="O80" i="4" s="1"/>
  <c r="N80" i="4"/>
  <c r="M80" i="4"/>
  <c r="L80" i="4"/>
  <c r="K80" i="4"/>
  <c r="J80" i="4"/>
  <c r="I80" i="4"/>
  <c r="O79" i="4"/>
  <c r="O78" i="4"/>
  <c r="O77" i="4"/>
  <c r="O76" i="4" s="1"/>
  <c r="N76" i="4"/>
  <c r="M76" i="4"/>
  <c r="L76" i="4"/>
  <c r="K76" i="4"/>
  <c r="J76" i="4"/>
  <c r="I76" i="4"/>
  <c r="O75" i="4"/>
  <c r="O74" i="4"/>
  <c r="O73" i="4"/>
  <c r="O72" i="4"/>
  <c r="O71" i="4"/>
  <c r="O70" i="4"/>
  <c r="O69" i="4"/>
  <c r="O68" i="4"/>
  <c r="O67" i="4"/>
  <c r="O66" i="4"/>
  <c r="O65" i="4"/>
  <c r="O64" i="4"/>
  <c r="O63" i="4"/>
  <c r="O62" i="4"/>
  <c r="O61" i="4"/>
  <c r="O60" i="4"/>
  <c r="O59" i="4"/>
  <c r="O58" i="4"/>
  <c r="O57" i="4"/>
  <c r="O56" i="4"/>
  <c r="O55" i="4" s="1"/>
  <c r="N55" i="4"/>
  <c r="M55" i="4"/>
  <c r="L55" i="4"/>
  <c r="K55" i="4"/>
  <c r="J55" i="4"/>
  <c r="I55" i="4"/>
  <c r="O54" i="4"/>
  <c r="O52" i="4" s="1"/>
  <c r="O53" i="4"/>
  <c r="N52" i="4"/>
  <c r="M52" i="4"/>
  <c r="L52" i="4"/>
  <c r="K52" i="4"/>
  <c r="J52" i="4"/>
  <c r="I52" i="4"/>
  <c r="O51" i="4"/>
  <c r="O50" i="4"/>
  <c r="O49" i="4"/>
  <c r="O48" i="4"/>
  <c r="O47" i="4"/>
  <c r="I47" i="4"/>
  <c r="O46" i="4"/>
  <c r="O45" i="4"/>
  <c r="O44" i="4"/>
  <c r="O43" i="4"/>
  <c r="O42" i="4"/>
  <c r="O41" i="4"/>
  <c r="O40" i="4"/>
  <c r="O39" i="4"/>
  <c r="O38" i="4"/>
  <c r="O37" i="4"/>
  <c r="O36" i="4"/>
  <c r="O35" i="4"/>
  <c r="O34" i="4"/>
  <c r="O33" i="4"/>
  <c r="O32" i="4"/>
  <c r="O31" i="4"/>
  <c r="O30" i="4"/>
  <c r="O29" i="4"/>
  <c r="I29" i="4"/>
  <c r="I28" i="4"/>
  <c r="O28" i="4" s="1"/>
  <c r="O27" i="4" s="1"/>
  <c r="N27" i="4"/>
  <c r="M27" i="4"/>
  <c r="L27" i="4"/>
  <c r="K27" i="4"/>
  <c r="J27" i="4"/>
  <c r="O26" i="4"/>
  <c r="O25" i="4"/>
  <c r="O24" i="4"/>
  <c r="O23" i="4"/>
  <c r="O22" i="4"/>
  <c r="O21" i="4"/>
  <c r="O20" i="4"/>
  <c r="O19" i="4"/>
  <c r="O18" i="4"/>
  <c r="O16" i="4" s="1"/>
  <c r="O17" i="4"/>
  <c r="N16" i="4"/>
  <c r="M16" i="4"/>
  <c r="L16" i="4"/>
  <c r="K16" i="4"/>
  <c r="J16" i="4"/>
  <c r="I16" i="4"/>
  <c r="O15" i="4"/>
  <c r="O14" i="4"/>
  <c r="I13" i="4"/>
  <c r="I8" i="4" s="1"/>
  <c r="O12" i="4"/>
  <c r="O11" i="4"/>
  <c r="O10" i="4"/>
  <c r="O9" i="4"/>
  <c r="I9" i="4"/>
  <c r="N8" i="4"/>
  <c r="N140" i="4" s="1"/>
  <c r="M8" i="4"/>
  <c r="M140" i="4" s="1"/>
  <c r="L8" i="4"/>
  <c r="L140" i="4" s="1"/>
  <c r="K8" i="4"/>
  <c r="K140" i="4" s="1"/>
  <c r="J8" i="4"/>
  <c r="I21" i="11"/>
  <c r="H21" i="11"/>
  <c r="G21" i="11"/>
  <c r="F21" i="11"/>
  <c r="E21" i="11"/>
  <c r="D21" i="11"/>
  <c r="C21" i="11"/>
  <c r="O8" i="4" l="1"/>
  <c r="O84" i="4"/>
  <c r="O107" i="4"/>
  <c r="O103" i="4" s="1"/>
  <c r="O13" i="4"/>
  <c r="I138" i="4"/>
  <c r="J103" i="4"/>
  <c r="J140" i="4" s="1"/>
  <c r="I27" i="4"/>
  <c r="I140" i="4" s="1"/>
  <c r="O94" i="6"/>
  <c r="N94" i="6"/>
  <c r="M94" i="6"/>
  <c r="L94" i="6"/>
  <c r="K94" i="6"/>
  <c r="J94" i="6"/>
  <c r="I94" i="6"/>
  <c r="O93" i="6"/>
  <c r="O92" i="6"/>
  <c r="O91" i="6"/>
  <c r="O90" i="6"/>
  <c r="O89" i="6"/>
  <c r="O88" i="6"/>
  <c r="O87" i="6"/>
  <c r="O86" i="6"/>
  <c r="O85" i="6"/>
  <c r="O84" i="6"/>
  <c r="O83" i="6"/>
  <c r="O82" i="6"/>
  <c r="O81" i="6"/>
  <c r="O80" i="6"/>
  <c r="O79" i="6"/>
  <c r="O78" i="6"/>
  <c r="O77" i="6"/>
  <c r="O76" i="6"/>
  <c r="O75" i="6"/>
  <c r="O74" i="6"/>
  <c r="O73" i="6"/>
  <c r="O72" i="6"/>
  <c r="O71" i="6"/>
  <c r="O70" i="6"/>
  <c r="O69" i="6"/>
  <c r="O68" i="6"/>
  <c r="K67" i="6"/>
  <c r="J67" i="6"/>
  <c r="O67" i="6" s="1"/>
  <c r="K66" i="6"/>
  <c r="J66" i="6"/>
  <c r="J60" i="6" s="1"/>
  <c r="O65" i="6"/>
  <c r="O64" i="6"/>
  <c r="O63" i="6"/>
  <c r="K62" i="6"/>
  <c r="K60" i="6" s="1"/>
  <c r="J62" i="6"/>
  <c r="O61" i="6"/>
  <c r="N60" i="6"/>
  <c r="M60" i="6"/>
  <c r="L60" i="6"/>
  <c r="I60" i="6"/>
  <c r="O59" i="6"/>
  <c r="O58" i="6"/>
  <c r="O57" i="6"/>
  <c r="O56" i="6"/>
  <c r="O55" i="6"/>
  <c r="O54" i="6"/>
  <c r="O53" i="6"/>
  <c r="O52" i="6"/>
  <c r="O51" i="6"/>
  <c r="O50" i="6"/>
  <c r="O49" i="6"/>
  <c r="J48" i="6"/>
  <c r="O48" i="6" s="1"/>
  <c r="O47" i="6"/>
  <c r="O46" i="6"/>
  <c r="O45" i="6"/>
  <c r="O44" i="6"/>
  <c r="O43" i="6"/>
  <c r="M43" i="6"/>
  <c r="L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N10" i="6"/>
  <c r="N96" i="6" s="1"/>
  <c r="M10" i="6"/>
  <c r="M96" i="6" s="1"/>
  <c r="L10" i="6"/>
  <c r="L96" i="6" s="1"/>
  <c r="K10" i="6"/>
  <c r="J10" i="6"/>
  <c r="I10" i="6"/>
  <c r="I96" i="6" s="1"/>
  <c r="O9" i="6"/>
  <c r="O8" i="6"/>
  <c r="N8" i="6"/>
  <c r="M8" i="6"/>
  <c r="L8" i="6"/>
  <c r="K8" i="6"/>
  <c r="J8" i="6"/>
  <c r="I8" i="6"/>
  <c r="O107" i="5"/>
  <c r="O35" i="5"/>
  <c r="O14" i="5"/>
  <c r="O34" i="5"/>
  <c r="O114" i="5"/>
  <c r="O54" i="5"/>
  <c r="O53" i="5"/>
  <c r="O52" i="5"/>
  <c r="O33" i="5"/>
  <c r="O51" i="5"/>
  <c r="O32" i="5"/>
  <c r="I50" i="5"/>
  <c r="O50" i="5" s="1"/>
  <c r="O106" i="5"/>
  <c r="O13" i="5"/>
  <c r="O12" i="5"/>
  <c r="O49" i="5"/>
  <c r="M48" i="5"/>
  <c r="L48" i="5"/>
  <c r="O56" i="5"/>
  <c r="O47" i="5"/>
  <c r="O71" i="5"/>
  <c r="O31" i="5"/>
  <c r="O30" i="5"/>
  <c r="O11" i="5"/>
  <c r="O105" i="5"/>
  <c r="O104" i="5"/>
  <c r="O103" i="5"/>
  <c r="O102" i="5"/>
  <c r="O29" i="5"/>
  <c r="O46" i="5"/>
  <c r="O10" i="5"/>
  <c r="O45" i="5"/>
  <c r="O44" i="5"/>
  <c r="O9" i="5"/>
  <c r="O101" i="5"/>
  <c r="O43" i="5"/>
  <c r="O42" i="5"/>
  <c r="O41" i="5"/>
  <c r="O40" i="5"/>
  <c r="O39" i="5"/>
  <c r="O28" i="5"/>
  <c r="O113" i="5"/>
  <c r="O38" i="5"/>
  <c r="O99" i="5"/>
  <c r="O98" i="5"/>
  <c r="O17" i="5"/>
  <c r="O16" i="5"/>
  <c r="O97" i="5"/>
  <c r="O96" i="5"/>
  <c r="O70" i="5"/>
  <c r="O26" i="5"/>
  <c r="O69" i="5"/>
  <c r="O95" i="5"/>
  <c r="O94" i="5"/>
  <c r="O93" i="5"/>
  <c r="O25" i="5"/>
  <c r="O68" i="5"/>
  <c r="O74" i="5"/>
  <c r="O37" i="5"/>
  <c r="O73" i="5"/>
  <c r="O67" i="5"/>
  <c r="O92" i="5"/>
  <c r="O24" i="5"/>
  <c r="O23" i="5"/>
  <c r="O66" i="5"/>
  <c r="I22" i="5"/>
  <c r="O22" i="5" s="1"/>
  <c r="O91" i="5"/>
  <c r="O65" i="5"/>
  <c r="O90" i="5"/>
  <c r="O21" i="5"/>
  <c r="O64" i="5"/>
  <c r="O63" i="5"/>
  <c r="O62" i="5"/>
  <c r="O61" i="5"/>
  <c r="O89" i="5"/>
  <c r="O88" i="5"/>
  <c r="O60" i="5"/>
  <c r="O59" i="5"/>
  <c r="O87" i="5"/>
  <c r="O86" i="5"/>
  <c r="O85" i="5"/>
  <c r="O84" i="5"/>
  <c r="O83" i="5"/>
  <c r="O82" i="5"/>
  <c r="O20" i="5"/>
  <c r="O58" i="5"/>
  <c r="O19" i="5"/>
  <c r="I81" i="5"/>
  <c r="O81" i="5" s="1"/>
  <c r="K80" i="5"/>
  <c r="J80" i="5"/>
  <c r="I80" i="5"/>
  <c r="K79" i="5"/>
  <c r="J79" i="5"/>
  <c r="I79" i="5"/>
  <c r="O78" i="5"/>
  <c r="K77" i="5"/>
  <c r="J77" i="5"/>
  <c r="I77" i="5"/>
  <c r="K76" i="5"/>
  <c r="J76" i="5"/>
  <c r="I76" i="5"/>
  <c r="K75" i="5"/>
  <c r="J75" i="5"/>
  <c r="I75" i="5"/>
  <c r="O111" i="5"/>
  <c r="O110" i="5"/>
  <c r="O109" i="5"/>
  <c r="O79" i="5" l="1"/>
  <c r="O76" i="5"/>
  <c r="O75" i="5"/>
  <c r="O80" i="5"/>
  <c r="O77" i="5"/>
  <c r="O140" i="4"/>
  <c r="J96" i="6"/>
  <c r="O10" i="6"/>
  <c r="K96" i="6"/>
  <c r="O62" i="6"/>
  <c r="O60" i="6" s="1"/>
  <c r="O66" i="6"/>
  <c r="O48" i="5"/>
  <c r="G110" i="6" l="1"/>
  <c r="G114" i="6" s="1"/>
  <c r="F109" i="6"/>
  <c r="F113" i="6" s="1"/>
  <c r="G106" i="6"/>
  <c r="F105" i="6"/>
  <c r="N98" i="6"/>
  <c r="N100" i="6" s="1"/>
  <c r="O96" i="6"/>
  <c r="I18" i="10" l="1"/>
  <c r="H18" i="10"/>
  <c r="G18" i="10"/>
  <c r="I17" i="10"/>
  <c r="H17" i="10"/>
  <c r="G17" i="10"/>
  <c r="I16" i="10"/>
  <c r="H16" i="10"/>
  <c r="G16" i="10"/>
  <c r="I15" i="10"/>
  <c r="H15" i="10"/>
  <c r="G15" i="10"/>
  <c r="I14" i="10"/>
  <c r="H14" i="10"/>
  <c r="G14" i="10"/>
  <c r="I13" i="10"/>
  <c r="H13" i="10"/>
  <c r="G13" i="10"/>
  <c r="H12" i="10"/>
  <c r="G12" i="10"/>
  <c r="I11" i="10"/>
  <c r="H11" i="10"/>
  <c r="I10" i="10"/>
  <c r="H10" i="10"/>
  <c r="G10" i="10"/>
  <c r="G9" i="10"/>
  <c r="G7" i="10"/>
  <c r="I6" i="10"/>
  <c r="H6" i="10"/>
  <c r="G6" i="10"/>
  <c r="F5" i="10"/>
  <c r="F19" i="10" s="1"/>
  <c r="F9" i="9"/>
  <c r="I8" i="9"/>
  <c r="H8" i="9"/>
  <c r="G8" i="9"/>
  <c r="I7" i="9"/>
  <c r="H7" i="9"/>
  <c r="G7" i="9"/>
  <c r="I6" i="9"/>
  <c r="H6" i="9"/>
  <c r="G6" i="9"/>
  <c r="I5" i="9"/>
  <c r="H5" i="9"/>
  <c r="G5" i="9"/>
  <c r="I45" i="1"/>
  <c r="H45" i="1"/>
  <c r="G45" i="1"/>
  <c r="I44" i="1"/>
  <c r="H44" i="1"/>
  <c r="G44" i="1"/>
  <c r="I43" i="1"/>
  <c r="H43" i="1"/>
  <c r="G43" i="1"/>
  <c r="I42" i="1"/>
  <c r="H42" i="1"/>
  <c r="G42" i="1"/>
  <c r="I41" i="1"/>
  <c r="H41" i="1"/>
  <c r="G41" i="1"/>
  <c r="I40" i="1"/>
  <c r="H40" i="1"/>
  <c r="G40" i="1"/>
  <c r="I39" i="1"/>
  <c r="H39" i="1"/>
  <c r="G39" i="1"/>
  <c r="I38" i="1"/>
  <c r="H38" i="1"/>
  <c r="G38" i="1"/>
  <c r="I37" i="1"/>
  <c r="H37" i="1"/>
  <c r="G37" i="1"/>
  <c r="G36" i="1"/>
  <c r="I35" i="1"/>
  <c r="H35" i="1"/>
  <c r="G35" i="1"/>
  <c r="H34" i="1"/>
  <c r="I33" i="1"/>
  <c r="H33" i="1"/>
  <c r="F33" i="1"/>
  <c r="G33" i="1" s="1"/>
  <c r="I32" i="1"/>
  <c r="H32" i="1"/>
  <c r="G32" i="1"/>
  <c r="I31" i="1"/>
  <c r="H31" i="1"/>
  <c r="G31" i="1"/>
  <c r="G30" i="1"/>
  <c r="G29" i="1"/>
  <c r="I27" i="1"/>
  <c r="H27" i="1"/>
  <c r="G27" i="1"/>
  <c r="I25" i="1"/>
  <c r="H25" i="1"/>
  <c r="G25" i="1"/>
  <c r="I24" i="1"/>
  <c r="H24" i="1"/>
  <c r="G24" i="1"/>
  <c r="I23" i="1"/>
  <c r="H23" i="1"/>
  <c r="G23" i="1"/>
  <c r="I22" i="1"/>
  <c r="H22" i="1"/>
  <c r="G22" i="1"/>
  <c r="I21" i="1"/>
  <c r="H21" i="1"/>
  <c r="G21" i="1"/>
  <c r="I20" i="1"/>
  <c r="H20" i="1"/>
  <c r="G20" i="1"/>
  <c r="I19" i="1"/>
  <c r="H19" i="1"/>
  <c r="G19" i="1"/>
  <c r="I18" i="1"/>
  <c r="H18" i="1"/>
  <c r="G18" i="1"/>
  <c r="F17" i="1"/>
  <c r="H17" i="1" s="1"/>
  <c r="H16" i="1"/>
  <c r="I15" i="1"/>
  <c r="H15" i="1"/>
  <c r="G15" i="1"/>
  <c r="F14" i="1"/>
  <c r="G13" i="1"/>
  <c r="F12" i="1"/>
  <c r="F11" i="1"/>
  <c r="H11" i="1" s="1"/>
  <c r="H10" i="1"/>
  <c r="F10" i="1"/>
  <c r="I10" i="1" s="1"/>
  <c r="I9" i="1"/>
  <c r="F9" i="1"/>
  <c r="H9" i="1" s="1"/>
  <c r="F8" i="1"/>
  <c r="I8" i="1" s="1"/>
  <c r="I7" i="1"/>
  <c r="F7" i="1"/>
  <c r="H7" i="1" s="1"/>
  <c r="F6" i="1"/>
  <c r="F5" i="1"/>
  <c r="H5" i="1" s="1"/>
  <c r="O73" i="7"/>
  <c r="N73" i="7"/>
  <c r="M73" i="7"/>
  <c r="L73" i="7"/>
  <c r="K73" i="7"/>
  <c r="J73" i="7"/>
  <c r="I73" i="7"/>
  <c r="O72" i="7"/>
  <c r="O71" i="7"/>
  <c r="O70" i="7"/>
  <c r="O69" i="7"/>
  <c r="O68" i="7"/>
  <c r="O67" i="7"/>
  <c r="O66" i="7"/>
  <c r="O65" i="7"/>
  <c r="O64" i="7"/>
  <c r="O63" i="7"/>
  <c r="O62" i="7"/>
  <c r="O61" i="7"/>
  <c r="O60" i="7"/>
  <c r="O59" i="7"/>
  <c r="O58" i="7"/>
  <c r="O57" i="7"/>
  <c r="O56" i="7"/>
  <c r="O55" i="7"/>
  <c r="O49" i="7" s="1"/>
  <c r="O54" i="7"/>
  <c r="O53" i="7"/>
  <c r="O52" i="7"/>
  <c r="O51" i="7"/>
  <c r="O50" i="7"/>
  <c r="N49" i="7"/>
  <c r="M49" i="7"/>
  <c r="L49" i="7"/>
  <c r="K49" i="7"/>
  <c r="J49" i="7"/>
  <c r="I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s="1"/>
  <c r="N12" i="7"/>
  <c r="N75" i="7" s="1"/>
  <c r="M12" i="7"/>
  <c r="M75" i="7" s="1"/>
  <c r="L12" i="7"/>
  <c r="L75" i="7" s="1"/>
  <c r="K12" i="7"/>
  <c r="K75" i="7" s="1"/>
  <c r="J12" i="7"/>
  <c r="J75" i="7" s="1"/>
  <c r="I12" i="7"/>
  <c r="I75" i="7" s="1"/>
  <c r="O11" i="7"/>
  <c r="O8" i="7" s="1"/>
  <c r="O10" i="7"/>
  <c r="O9" i="7"/>
  <c r="N8" i="7"/>
  <c r="M8" i="7"/>
  <c r="L8" i="7"/>
  <c r="K8" i="7"/>
  <c r="J8" i="7"/>
  <c r="I8" i="7"/>
  <c r="I5" i="10" l="1"/>
  <c r="I19" i="10" s="1"/>
  <c r="G5" i="10"/>
  <c r="G19" i="10" s="1"/>
  <c r="H5" i="10"/>
  <c r="H19" i="10" s="1"/>
  <c r="G9" i="9"/>
  <c r="H9" i="9"/>
  <c r="I9" i="9"/>
  <c r="G8" i="1"/>
  <c r="H8" i="1"/>
  <c r="I11" i="1"/>
  <c r="G10" i="1"/>
  <c r="H46" i="1"/>
  <c r="G5" i="1"/>
  <c r="G17" i="1"/>
  <c r="I5" i="1"/>
  <c r="I17" i="1"/>
  <c r="F46" i="1"/>
  <c r="G7" i="1"/>
  <c r="G9" i="1"/>
  <c r="G11" i="1"/>
  <c r="O75" i="7"/>
  <c r="I20" i="10" l="1"/>
  <c r="I10" i="9"/>
  <c r="I46" i="1"/>
  <c r="G46" i="1"/>
  <c r="I47" i="1" l="1"/>
  <c r="O66" i="8" l="1"/>
  <c r="N66" i="8"/>
  <c r="M66" i="8"/>
  <c r="L66" i="8"/>
  <c r="K66" i="8"/>
  <c r="J66" i="8"/>
  <c r="I66" i="8"/>
  <c r="O65" i="8"/>
  <c r="O64" i="8"/>
  <c r="O63" i="8"/>
  <c r="O62" i="8"/>
  <c r="O61" i="8"/>
  <c r="I60" i="8"/>
  <c r="O60" i="8" s="1"/>
  <c r="O59" i="8"/>
  <c r="O58" i="8"/>
  <c r="O57" i="8"/>
  <c r="O51" i="8" s="1"/>
  <c r="O56" i="8"/>
  <c r="O55" i="8"/>
  <c r="O54" i="8"/>
  <c r="O53" i="8"/>
  <c r="O52" i="8"/>
  <c r="N51" i="8"/>
  <c r="M51" i="8"/>
  <c r="L51" i="8"/>
  <c r="K51" i="8"/>
  <c r="J51" i="8"/>
  <c r="O50" i="8"/>
  <c r="O49" i="8"/>
  <c r="O48" i="8"/>
  <c r="O47" i="8"/>
  <c r="O46" i="8"/>
  <c r="O45" i="8"/>
  <c r="O44" i="8"/>
  <c r="O43" i="8"/>
  <c r="O42" i="8"/>
  <c r="O41" i="8"/>
  <c r="O40" i="8"/>
  <c r="O39" i="8"/>
  <c r="O38" i="8"/>
  <c r="O37" i="8"/>
  <c r="O36" i="8"/>
  <c r="O35" i="8"/>
  <c r="O34" i="8"/>
  <c r="O33" i="8"/>
  <c r="O32" i="8"/>
  <c r="K31" i="8"/>
  <c r="K8" i="8" s="1"/>
  <c r="K68" i="8" s="1"/>
  <c r="J31" i="8"/>
  <c r="I31" i="8"/>
  <c r="O30" i="8"/>
  <c r="O29" i="8"/>
  <c r="O28" i="8"/>
  <c r="O27" i="8"/>
  <c r="O26" i="8"/>
  <c r="O25" i="8"/>
  <c r="O24" i="8"/>
  <c r="O23" i="8"/>
  <c r="O22" i="8"/>
  <c r="O21" i="8"/>
  <c r="O20" i="8"/>
  <c r="O19" i="8"/>
  <c r="O18" i="8"/>
  <c r="O17" i="8"/>
  <c r="O16" i="8"/>
  <c r="O15" i="8"/>
  <c r="O14" i="8"/>
  <c r="O13" i="8"/>
  <c r="O12" i="8"/>
  <c r="O11" i="8"/>
  <c r="O10" i="8"/>
  <c r="O9" i="8"/>
  <c r="N8" i="8"/>
  <c r="N68" i="8" s="1"/>
  <c r="M8" i="8"/>
  <c r="M68" i="8" s="1"/>
  <c r="L8" i="8"/>
  <c r="J8" i="8"/>
  <c r="J68" i="8" s="1"/>
  <c r="I8" i="8"/>
  <c r="O31" i="8" l="1"/>
  <c r="O8" i="8"/>
  <c r="O68" i="8" s="1"/>
  <c r="L68" i="8"/>
  <c r="I51" i="8"/>
  <c r="I68" i="8" s="1"/>
  <c r="F53" i="2"/>
  <c r="V50" i="2"/>
  <c r="U50" i="2"/>
  <c r="T50" i="2"/>
  <c r="V49" i="2"/>
  <c r="U49" i="2"/>
  <c r="T49" i="2"/>
  <c r="F48" i="2"/>
  <c r="V47" i="2"/>
  <c r="U47" i="2"/>
  <c r="T47" i="2"/>
  <c r="V43" i="2"/>
  <c r="U43" i="2"/>
  <c r="T43" i="2"/>
  <c r="V42" i="2"/>
  <c r="U42" i="2"/>
  <c r="T42" i="2"/>
  <c r="V41" i="2"/>
  <c r="U41" i="2"/>
  <c r="T41" i="2"/>
  <c r="V40" i="2"/>
  <c r="U40" i="2"/>
  <c r="T40" i="2"/>
  <c r="V39" i="2"/>
  <c r="U39" i="2"/>
  <c r="T39" i="2"/>
  <c r="R53" i="2"/>
  <c r="P53" i="2"/>
  <c r="N53" i="2"/>
  <c r="K53" i="2"/>
  <c r="J53" i="2"/>
  <c r="I53" i="2"/>
  <c r="V51" i="2"/>
  <c r="U51" i="2"/>
  <c r="T51" i="2"/>
  <c r="V38" i="2"/>
  <c r="U38" i="2"/>
  <c r="T38" i="2"/>
  <c r="V37" i="2"/>
  <c r="U37" i="2"/>
  <c r="T37" i="2"/>
  <c r="V36" i="2"/>
  <c r="U36" i="2"/>
  <c r="T36" i="2"/>
  <c r="V35" i="2"/>
  <c r="U35" i="2"/>
  <c r="T35" i="2"/>
  <c r="V34" i="2"/>
  <c r="U34" i="2"/>
  <c r="T34" i="2"/>
  <c r="V33" i="2"/>
  <c r="U33" i="2"/>
  <c r="T33" i="2"/>
  <c r="V32" i="2"/>
  <c r="T32" i="2"/>
  <c r="V31" i="2"/>
  <c r="U31" i="2"/>
  <c r="T31" i="2"/>
  <c r="V30" i="2"/>
  <c r="U30" i="2"/>
  <c r="T30" i="2"/>
  <c r="V29" i="2"/>
  <c r="U29" i="2"/>
  <c r="T29" i="2"/>
  <c r="V28" i="2"/>
  <c r="U28" i="2"/>
  <c r="T28" i="2"/>
  <c r="V27" i="2"/>
  <c r="U27" i="2"/>
  <c r="T27" i="2"/>
  <c r="V26" i="2"/>
  <c r="U26" i="2"/>
  <c r="T26" i="2"/>
  <c r="V25" i="2"/>
  <c r="U25" i="2"/>
  <c r="T25" i="2"/>
  <c r="V24" i="2"/>
  <c r="U24" i="2"/>
  <c r="T24" i="2"/>
  <c r="V23" i="2"/>
  <c r="U23" i="2"/>
  <c r="T23" i="2"/>
  <c r="V22" i="2"/>
  <c r="U22" i="2"/>
  <c r="T22" i="2"/>
  <c r="V21" i="2"/>
  <c r="U21" i="2"/>
  <c r="T21" i="2"/>
  <c r="V20" i="2"/>
  <c r="U20" i="2"/>
  <c r="T20" i="2"/>
  <c r="V19" i="2"/>
  <c r="U19" i="2"/>
  <c r="T19" i="2"/>
  <c r="V18" i="2"/>
  <c r="U18" i="2"/>
  <c r="T18" i="2"/>
  <c r="V17" i="2"/>
  <c r="U17" i="2"/>
  <c r="T17" i="2"/>
  <c r="V16" i="2"/>
  <c r="U16" i="2"/>
  <c r="T16" i="2"/>
  <c r="V15" i="2"/>
  <c r="U15" i="2"/>
  <c r="T15" i="2"/>
  <c r="V14" i="2"/>
  <c r="U14" i="2"/>
  <c r="T14" i="2"/>
  <c r="V13" i="2"/>
  <c r="U13" i="2"/>
  <c r="T13" i="2"/>
  <c r="V12" i="2"/>
  <c r="U12" i="2"/>
  <c r="T12" i="2"/>
  <c r="V11" i="2"/>
  <c r="U11" i="2"/>
  <c r="T11" i="2"/>
  <c r="V10" i="2"/>
  <c r="U10" i="2"/>
  <c r="T10" i="2"/>
  <c r="V9" i="2"/>
  <c r="U9" i="2"/>
  <c r="T9" i="2"/>
  <c r="V8" i="2"/>
  <c r="U8" i="2"/>
  <c r="T8" i="2"/>
  <c r="V7" i="2"/>
  <c r="U7" i="2"/>
  <c r="T7" i="2"/>
  <c r="V6" i="2"/>
  <c r="U6" i="2"/>
  <c r="T6" i="2"/>
  <c r="U5" i="2"/>
  <c r="U53" i="2" l="1"/>
  <c r="V53" i="2"/>
  <c r="K54" i="2"/>
  <c r="T53" i="2"/>
</calcChain>
</file>

<file path=xl/comments1.xml><?xml version="1.0" encoding="utf-8"?>
<comments xmlns="http://schemas.openxmlformats.org/spreadsheetml/2006/main">
  <authors>
    <author>Lenovo</author>
  </authors>
  <commentList>
    <comment ref="F10" authorId="0" shapeId="0">
      <text>
        <r>
          <rPr>
            <b/>
            <sz val="9"/>
            <color indexed="81"/>
            <rFont val="Tahoma"/>
            <family val="2"/>
          </rPr>
          <t>Lenovo:</t>
        </r>
        <r>
          <rPr>
            <sz val="9"/>
            <color indexed="81"/>
            <rFont val="Tahoma"/>
            <family val="2"/>
          </rPr>
          <t xml:space="preserve">
ปรับลดเนื่องจากตรวจสอบแล้วเป็นทุนวิจัยสิ้นสุดปี 66</t>
        </r>
      </text>
    </comment>
    <comment ref="H10" authorId="0" shapeId="0">
      <text>
        <r>
          <rPr>
            <b/>
            <sz val="9"/>
            <color indexed="81"/>
            <rFont val="Tahoma"/>
            <family val="2"/>
          </rPr>
          <t>Lenovo:</t>
        </r>
        <r>
          <rPr>
            <sz val="9"/>
            <color indexed="81"/>
            <rFont val="Tahoma"/>
            <family val="2"/>
          </rPr>
          <t xml:space="preserve">
ปรับลดเนื่องจากตรวจสอบแล้วเป็นทุนวิจัยสิ้นสุดปี 66</t>
        </r>
      </text>
    </comment>
  </commentList>
</comments>
</file>

<file path=xl/comments2.xml><?xml version="1.0" encoding="utf-8"?>
<comments xmlns="http://schemas.openxmlformats.org/spreadsheetml/2006/main">
  <authors>
    <author>TSU</author>
  </authors>
  <commentList>
    <comment ref="U5" authorId="0" shapeId="0">
      <text>
        <r>
          <rPr>
            <b/>
            <sz val="9"/>
            <color indexed="81"/>
            <rFont val="Tahoma"/>
            <family val="2"/>
          </rPr>
          <t>1.AP01110000060020010=28,000.00 บาท
2.AP01110000060020012=32,000.00 บาท</t>
        </r>
      </text>
    </comment>
    <comment ref="G12" authorId="0" shapeId="0">
      <text>
        <r>
          <rPr>
            <sz val="9"/>
            <color indexed="81"/>
            <rFont val="Tahoma"/>
            <family val="2"/>
          </rPr>
          <t xml:space="preserve">เงินโอนเข้าบัญชี 607,000 บาท ในวันที่ 16/11/59 แต่ออกใบเสร็จรอบที่ 1 = 203,000 บาท ในวันที่ 18/11/59
</t>
        </r>
      </text>
    </comment>
    <comment ref="G13" authorId="0" shapeId="0">
      <text>
        <r>
          <rPr>
            <sz val="9"/>
            <color indexed="81"/>
            <rFont val="Tahoma"/>
            <family val="2"/>
          </rPr>
          <t xml:space="preserve">เงินโอนเข้าบัญชี 607,000 บาท ในวันที่ 16/11/59 แต่ออกใบเสร็จรอบที่ 1 = 203,000 บาท ในวันที่ 18/11/59
</t>
        </r>
      </text>
    </comment>
    <comment ref="F18" authorId="0" shapeId="0">
      <text>
        <r>
          <rPr>
            <b/>
            <sz val="9"/>
            <color indexed="81"/>
            <rFont val="Tahoma"/>
            <family val="2"/>
          </rPr>
          <t>JV02050200360120132</t>
        </r>
      </text>
    </comment>
    <comment ref="F19" authorId="0" shapeId="0">
      <text>
        <r>
          <rPr>
            <b/>
            <sz val="9"/>
            <color indexed="81"/>
            <rFont val="Tahoma"/>
            <family val="2"/>
          </rPr>
          <t xml:space="preserve">JV02050200360120150
</t>
        </r>
      </text>
    </comment>
  </commentList>
</comments>
</file>

<file path=xl/comments3.xml><?xml version="1.0" encoding="utf-8"?>
<comments xmlns="http://schemas.openxmlformats.org/spreadsheetml/2006/main">
  <authors>
    <author>TSU</author>
  </authors>
  <commentList>
    <comment ref="H4" authorId="0" shapeId="0">
      <text>
        <r>
          <rPr>
            <b/>
            <sz val="9"/>
            <color indexed="81"/>
            <rFont val="Tahoma"/>
            <family val="2"/>
          </rPr>
          <t>TSU:</t>
        </r>
        <r>
          <rPr>
            <sz val="9"/>
            <color indexed="81"/>
            <rFont val="Tahoma"/>
            <family val="2"/>
          </rPr>
          <t xml:space="preserve">
RV02050200359100008</t>
        </r>
      </text>
    </comment>
    <comment ref="I4" authorId="0" shapeId="0">
      <text>
        <r>
          <rPr>
            <b/>
            <sz val="9"/>
            <color indexed="81"/>
            <rFont val="Tahoma"/>
            <family val="2"/>
          </rPr>
          <t>TSU:</t>
        </r>
        <r>
          <rPr>
            <sz val="9"/>
            <color indexed="81"/>
            <rFont val="Tahoma"/>
            <family val="2"/>
          </rPr>
          <t xml:space="preserve">
RV02050200359100009
</t>
        </r>
      </text>
    </comment>
    <comment ref="G5" authorId="0" shapeId="0">
      <text>
        <r>
          <rPr>
            <b/>
            <sz val="9"/>
            <color indexed="81"/>
            <rFont val="Tahoma"/>
            <family val="2"/>
          </rPr>
          <t>TSU:</t>
        </r>
        <r>
          <rPr>
            <sz val="9"/>
            <color indexed="81"/>
            <rFont val="Tahoma"/>
            <family val="2"/>
          </rPr>
          <t xml:space="preserve">
RV02050200359100086</t>
        </r>
      </text>
    </comment>
    <comment ref="H5" authorId="0" shapeId="0">
      <text>
        <r>
          <rPr>
            <b/>
            <sz val="9"/>
            <color indexed="81"/>
            <rFont val="Tahoma"/>
            <family val="2"/>
          </rPr>
          <t>TSU:</t>
        </r>
        <r>
          <rPr>
            <sz val="9"/>
            <color indexed="81"/>
            <rFont val="Tahoma"/>
            <family val="2"/>
          </rPr>
          <t xml:space="preserve">
RV02050200359100086</t>
        </r>
      </text>
    </comment>
    <comment ref="I5" authorId="0" shapeId="0">
      <text>
        <r>
          <rPr>
            <b/>
            <sz val="9"/>
            <color indexed="81"/>
            <rFont val="Tahoma"/>
            <family val="2"/>
          </rPr>
          <t>TSU:</t>
        </r>
        <r>
          <rPr>
            <sz val="9"/>
            <color indexed="81"/>
            <rFont val="Tahoma"/>
            <family val="2"/>
          </rPr>
          <t xml:space="preserve">
RV02050200359100087
</t>
        </r>
      </text>
    </comment>
    <comment ref="H6" authorId="0" shapeId="0">
      <text>
        <r>
          <rPr>
            <b/>
            <sz val="9"/>
            <color indexed="81"/>
            <rFont val="Tahoma"/>
            <family val="2"/>
          </rPr>
          <t>TSU:</t>
        </r>
        <r>
          <rPr>
            <sz val="9"/>
            <color indexed="81"/>
            <rFont val="Tahoma"/>
            <family val="2"/>
          </rPr>
          <t xml:space="preserve">
RV02050200359100117</t>
        </r>
      </text>
    </comment>
    <comment ref="I6" authorId="0" shapeId="0">
      <text>
        <r>
          <rPr>
            <b/>
            <sz val="9"/>
            <color indexed="81"/>
            <rFont val="Tahoma"/>
            <family val="2"/>
          </rPr>
          <t>TSU:</t>
        </r>
        <r>
          <rPr>
            <sz val="9"/>
            <color indexed="81"/>
            <rFont val="Tahoma"/>
            <family val="2"/>
          </rPr>
          <t xml:space="preserve">
RV02050200359100118
</t>
        </r>
      </text>
    </comment>
    <comment ref="G7" authorId="0" shapeId="0">
      <text>
        <r>
          <rPr>
            <b/>
            <sz val="9"/>
            <color indexed="81"/>
            <rFont val="Tahoma"/>
            <family val="2"/>
          </rPr>
          <t>TSU:</t>
        </r>
        <r>
          <rPr>
            <sz val="9"/>
            <color indexed="81"/>
            <rFont val="Tahoma"/>
            <family val="2"/>
          </rPr>
          <t xml:space="preserve">
RV02050200359100153</t>
        </r>
      </text>
    </comment>
    <comment ref="H7" authorId="0" shapeId="0">
      <text>
        <r>
          <rPr>
            <b/>
            <sz val="9"/>
            <color indexed="81"/>
            <rFont val="Tahoma"/>
            <family val="2"/>
          </rPr>
          <t>TSU:</t>
        </r>
        <r>
          <rPr>
            <sz val="9"/>
            <color indexed="81"/>
            <rFont val="Tahoma"/>
            <family val="2"/>
          </rPr>
          <t xml:space="preserve">
RV02050200359100153</t>
        </r>
      </text>
    </comment>
    <comment ref="I7" authorId="0" shapeId="0">
      <text>
        <r>
          <rPr>
            <b/>
            <sz val="9"/>
            <color indexed="81"/>
            <rFont val="Tahoma"/>
            <family val="2"/>
          </rPr>
          <t>TSU:</t>
        </r>
        <r>
          <rPr>
            <sz val="9"/>
            <color indexed="81"/>
            <rFont val="Tahoma"/>
            <family val="2"/>
          </rPr>
          <t xml:space="preserve">
RV02050200359100154</t>
        </r>
      </text>
    </comment>
    <comment ref="G8" authorId="0" shapeId="0">
      <text>
        <r>
          <rPr>
            <b/>
            <sz val="9"/>
            <color indexed="81"/>
            <rFont val="Tahoma"/>
            <family val="2"/>
          </rPr>
          <t>TSU:</t>
        </r>
        <r>
          <rPr>
            <sz val="9"/>
            <color indexed="81"/>
            <rFont val="Tahoma"/>
            <family val="2"/>
          </rPr>
          <t xml:space="preserve">
RV02050200359110095</t>
        </r>
      </text>
    </comment>
    <comment ref="H8" authorId="0" shapeId="0">
      <text>
        <r>
          <rPr>
            <b/>
            <sz val="9"/>
            <color indexed="81"/>
            <rFont val="Tahoma"/>
            <family val="2"/>
          </rPr>
          <t>TSU:</t>
        </r>
        <r>
          <rPr>
            <sz val="9"/>
            <color indexed="81"/>
            <rFont val="Tahoma"/>
            <family val="2"/>
          </rPr>
          <t xml:space="preserve">
RV02050200359110095</t>
        </r>
      </text>
    </comment>
    <comment ref="I8" authorId="0" shapeId="0">
      <text>
        <r>
          <rPr>
            <b/>
            <sz val="9"/>
            <color indexed="81"/>
            <rFont val="Tahoma"/>
            <family val="2"/>
          </rPr>
          <t>TSU:</t>
        </r>
        <r>
          <rPr>
            <sz val="9"/>
            <color indexed="81"/>
            <rFont val="Tahoma"/>
            <family val="2"/>
          </rPr>
          <t xml:space="preserve">
RV02050200359110096</t>
        </r>
      </text>
    </comment>
    <comment ref="G9" authorId="0" shapeId="0">
      <text>
        <r>
          <rPr>
            <b/>
            <sz val="9"/>
            <color indexed="81"/>
            <rFont val="Tahoma"/>
            <family val="2"/>
          </rPr>
          <t>TSU:</t>
        </r>
        <r>
          <rPr>
            <sz val="9"/>
            <color indexed="81"/>
            <rFont val="Tahoma"/>
            <family val="2"/>
          </rPr>
          <t xml:space="preserve">
RV02050200359110132
</t>
        </r>
      </text>
    </comment>
    <comment ref="H9" authorId="0" shapeId="0">
      <text>
        <r>
          <rPr>
            <b/>
            <sz val="9"/>
            <color indexed="81"/>
            <rFont val="Tahoma"/>
            <family val="2"/>
          </rPr>
          <t>TSU:</t>
        </r>
        <r>
          <rPr>
            <sz val="9"/>
            <color indexed="81"/>
            <rFont val="Tahoma"/>
            <family val="2"/>
          </rPr>
          <t xml:space="preserve">
RV02050200359110132</t>
        </r>
      </text>
    </comment>
    <comment ref="I9" authorId="0" shapeId="0">
      <text>
        <r>
          <rPr>
            <b/>
            <sz val="9"/>
            <color indexed="81"/>
            <rFont val="Tahoma"/>
            <family val="2"/>
          </rPr>
          <t>TSU:</t>
        </r>
        <r>
          <rPr>
            <sz val="9"/>
            <color indexed="81"/>
            <rFont val="Tahoma"/>
            <family val="2"/>
          </rPr>
          <t xml:space="preserve">
RV02050200359110133</t>
        </r>
      </text>
    </comment>
    <comment ref="G10" authorId="0" shapeId="0">
      <text>
        <r>
          <rPr>
            <b/>
            <sz val="9"/>
            <color indexed="81"/>
            <rFont val="Tahoma"/>
            <family val="2"/>
          </rPr>
          <t>TSU:</t>
        </r>
        <r>
          <rPr>
            <sz val="9"/>
            <color indexed="81"/>
            <rFont val="Tahoma"/>
            <family val="2"/>
          </rPr>
          <t xml:space="preserve">
RV02050200359110230
</t>
        </r>
      </text>
    </comment>
    <comment ref="H10" authorId="0" shapeId="0">
      <text>
        <r>
          <rPr>
            <b/>
            <sz val="9"/>
            <color indexed="81"/>
            <rFont val="Tahoma"/>
            <family val="2"/>
          </rPr>
          <t>TSU:</t>
        </r>
        <r>
          <rPr>
            <sz val="9"/>
            <color indexed="81"/>
            <rFont val="Tahoma"/>
            <family val="2"/>
          </rPr>
          <t xml:space="preserve">
RV02050200359110230
</t>
        </r>
      </text>
    </comment>
    <comment ref="I10" authorId="0" shapeId="0">
      <text>
        <r>
          <rPr>
            <b/>
            <sz val="9"/>
            <color indexed="81"/>
            <rFont val="Tahoma"/>
            <family val="2"/>
          </rPr>
          <t>TSU:</t>
        </r>
        <r>
          <rPr>
            <sz val="9"/>
            <color indexed="81"/>
            <rFont val="Tahoma"/>
            <family val="2"/>
          </rPr>
          <t xml:space="preserve">
RV02050200359110231</t>
        </r>
      </text>
    </comment>
    <comment ref="G11" authorId="0" shapeId="0">
      <text>
        <r>
          <rPr>
            <b/>
            <sz val="9"/>
            <color indexed="81"/>
            <rFont val="Tahoma"/>
            <family val="2"/>
          </rPr>
          <t>TSU:</t>
        </r>
        <r>
          <rPr>
            <sz val="9"/>
            <color indexed="81"/>
            <rFont val="Tahoma"/>
            <family val="2"/>
          </rPr>
          <t xml:space="preserve">
RV02050200359120190</t>
        </r>
      </text>
    </comment>
    <comment ref="H11" authorId="0" shapeId="0">
      <text>
        <r>
          <rPr>
            <b/>
            <sz val="9"/>
            <color indexed="81"/>
            <rFont val="Tahoma"/>
            <family val="2"/>
          </rPr>
          <t>TSU:</t>
        </r>
        <r>
          <rPr>
            <sz val="9"/>
            <color indexed="81"/>
            <rFont val="Tahoma"/>
            <family val="2"/>
          </rPr>
          <t xml:space="preserve">
RV02050200359120190</t>
        </r>
      </text>
    </comment>
    <comment ref="I11" authorId="0" shapeId="0">
      <text>
        <r>
          <rPr>
            <b/>
            <sz val="9"/>
            <color indexed="81"/>
            <rFont val="Tahoma"/>
            <family val="2"/>
          </rPr>
          <t>TSU:</t>
        </r>
        <r>
          <rPr>
            <sz val="9"/>
            <color indexed="81"/>
            <rFont val="Tahoma"/>
            <family val="2"/>
          </rPr>
          <t xml:space="preserve">
RV02050200359120191</t>
        </r>
      </text>
    </comment>
    <comment ref="G12" authorId="0" shapeId="0">
      <text>
        <r>
          <rPr>
            <b/>
            <sz val="9"/>
            <color indexed="81"/>
            <rFont val="Tahoma"/>
            <family val="2"/>
          </rPr>
          <t>TSU:</t>
        </r>
        <r>
          <rPr>
            <sz val="9"/>
            <color indexed="81"/>
            <rFont val="Tahoma"/>
            <family val="2"/>
          </rPr>
          <t xml:space="preserve">
RV02050200359120223</t>
        </r>
      </text>
    </comment>
    <comment ref="H12" authorId="0" shapeId="0">
      <text>
        <r>
          <rPr>
            <b/>
            <sz val="9"/>
            <color indexed="81"/>
            <rFont val="Tahoma"/>
            <family val="2"/>
          </rPr>
          <t>TSU:</t>
        </r>
        <r>
          <rPr>
            <sz val="9"/>
            <color indexed="81"/>
            <rFont val="Tahoma"/>
            <family val="2"/>
          </rPr>
          <t xml:space="preserve">
RV02050200359120223</t>
        </r>
      </text>
    </comment>
    <comment ref="I12" authorId="0" shapeId="0">
      <text>
        <r>
          <rPr>
            <b/>
            <sz val="9"/>
            <color indexed="81"/>
            <rFont val="Tahoma"/>
            <family val="2"/>
          </rPr>
          <t>TSU:</t>
        </r>
        <r>
          <rPr>
            <sz val="9"/>
            <color indexed="81"/>
            <rFont val="Tahoma"/>
            <family val="2"/>
          </rPr>
          <t xml:space="preserve">
RV02050200359120224</t>
        </r>
      </text>
    </comment>
    <comment ref="G13" authorId="0" shapeId="0">
      <text>
        <r>
          <rPr>
            <b/>
            <sz val="9"/>
            <color indexed="81"/>
            <rFont val="Tahoma"/>
            <family val="2"/>
          </rPr>
          <t>TSU:</t>
        </r>
        <r>
          <rPr>
            <sz val="9"/>
            <color indexed="81"/>
            <rFont val="Tahoma"/>
            <family val="2"/>
          </rPr>
          <t xml:space="preserve">
RV02050200359120259</t>
        </r>
      </text>
    </comment>
    <comment ref="G14" authorId="0" shapeId="0">
      <text>
        <r>
          <rPr>
            <b/>
            <sz val="9"/>
            <color indexed="81"/>
            <rFont val="Tahoma"/>
            <family val="2"/>
          </rPr>
          <t>TSU:</t>
        </r>
        <r>
          <rPr>
            <sz val="9"/>
            <color indexed="81"/>
            <rFont val="Tahoma"/>
            <family val="2"/>
          </rPr>
          <t xml:space="preserve">
RV02050200359120311</t>
        </r>
      </text>
    </comment>
    <comment ref="H14" authorId="0" shapeId="0">
      <text>
        <r>
          <rPr>
            <b/>
            <sz val="9"/>
            <color indexed="81"/>
            <rFont val="Tahoma"/>
            <family val="2"/>
          </rPr>
          <t>TSU:</t>
        </r>
        <r>
          <rPr>
            <sz val="9"/>
            <color indexed="81"/>
            <rFont val="Tahoma"/>
            <family val="2"/>
          </rPr>
          <t xml:space="preserve">
RV02050200359120311</t>
        </r>
      </text>
    </comment>
    <comment ref="I14" authorId="0" shapeId="0">
      <text>
        <r>
          <rPr>
            <b/>
            <sz val="9"/>
            <color indexed="81"/>
            <rFont val="Tahoma"/>
            <family val="2"/>
          </rPr>
          <t>TSU:</t>
        </r>
        <r>
          <rPr>
            <sz val="9"/>
            <color indexed="81"/>
            <rFont val="Tahoma"/>
            <family val="2"/>
          </rPr>
          <t xml:space="preserve">
RV02050200359120312
</t>
        </r>
      </text>
    </comment>
    <comment ref="G15" authorId="0" shapeId="0">
      <text>
        <r>
          <rPr>
            <b/>
            <sz val="9"/>
            <color indexed="81"/>
            <rFont val="Tahoma"/>
            <family val="2"/>
          </rPr>
          <t>TSU:</t>
        </r>
        <r>
          <rPr>
            <sz val="9"/>
            <color indexed="81"/>
            <rFont val="Tahoma"/>
            <family val="2"/>
          </rPr>
          <t xml:space="preserve">
JV02050200359010068</t>
        </r>
      </text>
    </comment>
    <comment ref="I15" authorId="0" shapeId="0">
      <text>
        <r>
          <rPr>
            <b/>
            <sz val="9"/>
            <color indexed="81"/>
            <rFont val="Tahoma"/>
            <family val="2"/>
          </rPr>
          <t>TSU:</t>
        </r>
        <r>
          <rPr>
            <sz val="9"/>
            <color indexed="81"/>
            <rFont val="Tahoma"/>
            <family val="2"/>
          </rPr>
          <t xml:space="preserve">
JV02050200359010069</t>
        </r>
      </text>
    </comment>
    <comment ref="H16" authorId="0" shapeId="0">
      <text>
        <r>
          <rPr>
            <b/>
            <sz val="9"/>
            <color indexed="81"/>
            <rFont val="Tahoma"/>
            <family val="2"/>
          </rPr>
          <t>TSU:</t>
        </r>
        <r>
          <rPr>
            <sz val="9"/>
            <color indexed="81"/>
            <rFont val="Tahoma"/>
            <family val="2"/>
          </rPr>
          <t xml:space="preserve">
RV02050200359010024</t>
        </r>
      </text>
    </comment>
    <comment ref="G17" authorId="0" shapeId="0">
      <text>
        <r>
          <rPr>
            <b/>
            <sz val="9"/>
            <color indexed="81"/>
            <rFont val="Tahoma"/>
            <family val="2"/>
          </rPr>
          <t>TSU:</t>
        </r>
        <r>
          <rPr>
            <sz val="9"/>
            <color indexed="81"/>
            <rFont val="Tahoma"/>
            <family val="2"/>
          </rPr>
          <t xml:space="preserve">
RV02050200359010077</t>
        </r>
      </text>
    </comment>
    <comment ref="H17" authorId="0" shapeId="0">
      <text>
        <r>
          <rPr>
            <b/>
            <sz val="9"/>
            <color indexed="81"/>
            <rFont val="Tahoma"/>
            <family val="2"/>
          </rPr>
          <t>TSU:</t>
        </r>
        <r>
          <rPr>
            <sz val="9"/>
            <color indexed="81"/>
            <rFont val="Tahoma"/>
            <family val="2"/>
          </rPr>
          <t xml:space="preserve">
RV02050200359010077</t>
        </r>
      </text>
    </comment>
    <comment ref="I17" authorId="0" shapeId="0">
      <text>
        <r>
          <rPr>
            <b/>
            <sz val="9"/>
            <color indexed="81"/>
            <rFont val="Tahoma"/>
            <family val="2"/>
          </rPr>
          <t>TSU:</t>
        </r>
        <r>
          <rPr>
            <sz val="9"/>
            <color indexed="81"/>
            <rFont val="Tahoma"/>
            <family val="2"/>
          </rPr>
          <t xml:space="preserve">
RV02050200359010078
</t>
        </r>
      </text>
    </comment>
    <comment ref="G18" authorId="0" shapeId="0">
      <text>
        <r>
          <rPr>
            <b/>
            <sz val="9"/>
            <color indexed="81"/>
            <rFont val="Tahoma"/>
            <family val="2"/>
          </rPr>
          <t>TSU:</t>
        </r>
        <r>
          <rPr>
            <sz val="9"/>
            <color indexed="81"/>
            <rFont val="Tahoma"/>
            <family val="2"/>
          </rPr>
          <t xml:space="preserve">
RV02050200359010192</t>
        </r>
      </text>
    </comment>
    <comment ref="H18" authorId="0" shapeId="0">
      <text>
        <r>
          <rPr>
            <b/>
            <sz val="9"/>
            <color indexed="81"/>
            <rFont val="Tahoma"/>
            <family val="2"/>
          </rPr>
          <t>TSU:</t>
        </r>
        <r>
          <rPr>
            <sz val="9"/>
            <color indexed="81"/>
            <rFont val="Tahoma"/>
            <family val="2"/>
          </rPr>
          <t xml:space="preserve">
RV02050200359010192</t>
        </r>
      </text>
    </comment>
    <comment ref="I18" authorId="0" shapeId="0">
      <text>
        <r>
          <rPr>
            <b/>
            <sz val="9"/>
            <color indexed="81"/>
            <rFont val="Tahoma"/>
            <family val="2"/>
          </rPr>
          <t>TSU:</t>
        </r>
        <r>
          <rPr>
            <sz val="9"/>
            <color indexed="81"/>
            <rFont val="Tahoma"/>
            <family val="2"/>
          </rPr>
          <t xml:space="preserve">
RV02050200359010193</t>
        </r>
      </text>
    </comment>
    <comment ref="G19" authorId="0" shapeId="0">
      <text>
        <r>
          <rPr>
            <b/>
            <sz val="9"/>
            <color indexed="81"/>
            <rFont val="Tahoma"/>
            <family val="2"/>
          </rPr>
          <t>TSU:</t>
        </r>
        <r>
          <rPr>
            <sz val="9"/>
            <color indexed="81"/>
            <rFont val="Tahoma"/>
            <family val="2"/>
          </rPr>
          <t xml:space="preserve">
RV02050200359010208</t>
        </r>
      </text>
    </comment>
    <comment ref="H19" authorId="0" shapeId="0">
      <text>
        <r>
          <rPr>
            <b/>
            <sz val="9"/>
            <color indexed="81"/>
            <rFont val="Tahoma"/>
            <family val="2"/>
          </rPr>
          <t>TSU:</t>
        </r>
        <r>
          <rPr>
            <sz val="9"/>
            <color indexed="81"/>
            <rFont val="Tahoma"/>
            <family val="2"/>
          </rPr>
          <t xml:space="preserve">
RV02050200359010208</t>
        </r>
      </text>
    </comment>
    <comment ref="I19" authorId="0" shapeId="0">
      <text>
        <r>
          <rPr>
            <b/>
            <sz val="9"/>
            <color indexed="81"/>
            <rFont val="Tahoma"/>
            <family val="2"/>
          </rPr>
          <t>TSU:</t>
        </r>
        <r>
          <rPr>
            <sz val="9"/>
            <color indexed="81"/>
            <rFont val="Tahoma"/>
            <family val="2"/>
          </rPr>
          <t xml:space="preserve">
RV02050200359010209</t>
        </r>
      </text>
    </comment>
    <comment ref="G20" authorId="0" shapeId="0">
      <text>
        <r>
          <rPr>
            <b/>
            <sz val="9"/>
            <color indexed="81"/>
            <rFont val="Tahoma"/>
            <family val="2"/>
          </rPr>
          <t>TSU:</t>
        </r>
        <r>
          <rPr>
            <sz val="9"/>
            <color indexed="81"/>
            <rFont val="Tahoma"/>
            <family val="2"/>
          </rPr>
          <t xml:space="preserve">
AP02050200359020205</t>
        </r>
      </text>
    </comment>
    <comment ref="H20" authorId="0" shapeId="0">
      <text>
        <r>
          <rPr>
            <b/>
            <sz val="9"/>
            <color indexed="81"/>
            <rFont val="Tahoma"/>
            <family val="2"/>
          </rPr>
          <t>TSU:</t>
        </r>
        <r>
          <rPr>
            <sz val="9"/>
            <color indexed="81"/>
            <rFont val="Tahoma"/>
            <family val="2"/>
          </rPr>
          <t xml:space="preserve">
AP02050200359020205</t>
        </r>
      </text>
    </comment>
    <comment ref="I20" authorId="0" shapeId="0">
      <text>
        <r>
          <rPr>
            <b/>
            <sz val="9"/>
            <color indexed="81"/>
            <rFont val="Tahoma"/>
            <family val="2"/>
          </rPr>
          <t>TSU:</t>
        </r>
        <r>
          <rPr>
            <sz val="9"/>
            <color indexed="81"/>
            <rFont val="Tahoma"/>
            <family val="2"/>
          </rPr>
          <t xml:space="preserve">
AP02050200359020206</t>
        </r>
      </text>
    </comment>
    <comment ref="G21" authorId="0" shapeId="0">
      <text>
        <r>
          <rPr>
            <b/>
            <sz val="9"/>
            <color indexed="81"/>
            <rFont val="Tahoma"/>
            <family val="2"/>
          </rPr>
          <t>TSU:</t>
        </r>
        <r>
          <rPr>
            <sz val="9"/>
            <color indexed="81"/>
            <rFont val="Tahoma"/>
            <family val="2"/>
          </rPr>
          <t xml:space="preserve">
RV02050200359030100</t>
        </r>
      </text>
    </comment>
    <comment ref="H21" authorId="0" shapeId="0">
      <text>
        <r>
          <rPr>
            <b/>
            <sz val="9"/>
            <color indexed="81"/>
            <rFont val="Tahoma"/>
            <family val="2"/>
          </rPr>
          <t>TSU:</t>
        </r>
        <r>
          <rPr>
            <sz val="9"/>
            <color indexed="81"/>
            <rFont val="Tahoma"/>
            <family val="2"/>
          </rPr>
          <t xml:space="preserve">
RV02050200359030100</t>
        </r>
      </text>
    </comment>
    <comment ref="I21" authorId="0" shapeId="0">
      <text>
        <r>
          <rPr>
            <b/>
            <sz val="9"/>
            <color indexed="81"/>
            <rFont val="Tahoma"/>
            <family val="2"/>
          </rPr>
          <t>TSU:</t>
        </r>
        <r>
          <rPr>
            <sz val="9"/>
            <color indexed="81"/>
            <rFont val="Tahoma"/>
            <family val="2"/>
          </rPr>
          <t xml:space="preserve">
RV02050200359030101
</t>
        </r>
      </text>
    </comment>
    <comment ref="G22" authorId="0" shapeId="0">
      <text>
        <r>
          <rPr>
            <b/>
            <sz val="9"/>
            <color indexed="81"/>
            <rFont val="Tahoma"/>
            <family val="2"/>
          </rPr>
          <t>TSU:</t>
        </r>
        <r>
          <rPr>
            <sz val="9"/>
            <color indexed="81"/>
            <rFont val="Tahoma"/>
            <family val="2"/>
          </rPr>
          <t xml:space="preserve">
RV02050200359030217</t>
        </r>
      </text>
    </comment>
    <comment ref="H22" authorId="0" shapeId="0">
      <text>
        <r>
          <rPr>
            <b/>
            <sz val="9"/>
            <color indexed="81"/>
            <rFont val="Tahoma"/>
            <family val="2"/>
          </rPr>
          <t>TSU:</t>
        </r>
        <r>
          <rPr>
            <sz val="9"/>
            <color indexed="81"/>
            <rFont val="Tahoma"/>
            <family val="2"/>
          </rPr>
          <t xml:space="preserve">
RV02050200359030217</t>
        </r>
      </text>
    </comment>
    <comment ref="I22" authorId="0" shapeId="0">
      <text>
        <r>
          <rPr>
            <b/>
            <sz val="9"/>
            <color indexed="81"/>
            <rFont val="Tahoma"/>
            <family val="2"/>
          </rPr>
          <t>TSU:</t>
        </r>
        <r>
          <rPr>
            <sz val="9"/>
            <color indexed="81"/>
            <rFont val="Tahoma"/>
            <family val="2"/>
          </rPr>
          <t xml:space="preserve">
RV02050200359030218
</t>
        </r>
      </text>
    </comment>
    <comment ref="G23" authorId="0" shapeId="0">
      <text>
        <r>
          <rPr>
            <b/>
            <sz val="9"/>
            <color indexed="81"/>
            <rFont val="Tahoma"/>
            <family val="2"/>
          </rPr>
          <t>TSU:</t>
        </r>
        <r>
          <rPr>
            <sz val="9"/>
            <color indexed="81"/>
            <rFont val="Tahoma"/>
            <family val="2"/>
          </rPr>
          <t xml:space="preserve">
RV02050200359030282</t>
        </r>
      </text>
    </comment>
    <comment ref="H23" authorId="0" shapeId="0">
      <text>
        <r>
          <rPr>
            <b/>
            <sz val="9"/>
            <color indexed="81"/>
            <rFont val="Tahoma"/>
            <family val="2"/>
          </rPr>
          <t>TSU:</t>
        </r>
        <r>
          <rPr>
            <sz val="9"/>
            <color indexed="81"/>
            <rFont val="Tahoma"/>
            <family val="2"/>
          </rPr>
          <t xml:space="preserve">
RV02050200359030282</t>
        </r>
      </text>
    </comment>
    <comment ref="I23" authorId="0" shapeId="0">
      <text>
        <r>
          <rPr>
            <b/>
            <sz val="9"/>
            <color indexed="81"/>
            <rFont val="Tahoma"/>
            <family val="2"/>
          </rPr>
          <t>TSU:</t>
        </r>
        <r>
          <rPr>
            <sz val="9"/>
            <color indexed="81"/>
            <rFont val="Tahoma"/>
            <family val="2"/>
          </rPr>
          <t xml:space="preserve">
RV02050200359030283</t>
        </r>
      </text>
    </comment>
    <comment ref="G24" authorId="0" shapeId="0">
      <text>
        <r>
          <rPr>
            <b/>
            <sz val="9"/>
            <color indexed="81"/>
            <rFont val="Tahoma"/>
            <family val="2"/>
          </rPr>
          <t>TSU:</t>
        </r>
        <r>
          <rPr>
            <sz val="9"/>
            <color indexed="81"/>
            <rFont val="Tahoma"/>
            <family val="2"/>
          </rPr>
          <t xml:space="preserve">
RV02050200359040012</t>
        </r>
      </text>
    </comment>
    <comment ref="H24" authorId="0" shapeId="0">
      <text>
        <r>
          <rPr>
            <b/>
            <sz val="9"/>
            <color indexed="81"/>
            <rFont val="Tahoma"/>
            <family val="2"/>
          </rPr>
          <t>TSU:</t>
        </r>
        <r>
          <rPr>
            <sz val="9"/>
            <color indexed="81"/>
            <rFont val="Tahoma"/>
            <family val="2"/>
          </rPr>
          <t xml:space="preserve">
RV02050200359040012</t>
        </r>
      </text>
    </comment>
    <comment ref="I24" authorId="0" shapeId="0">
      <text>
        <r>
          <rPr>
            <b/>
            <sz val="9"/>
            <color indexed="81"/>
            <rFont val="Tahoma"/>
            <family val="2"/>
          </rPr>
          <t>TSU:</t>
        </r>
        <r>
          <rPr>
            <sz val="9"/>
            <color indexed="81"/>
            <rFont val="Tahoma"/>
            <family val="2"/>
          </rPr>
          <t xml:space="preserve">
RV02050200359040013</t>
        </r>
      </text>
    </comment>
    <comment ref="G25" authorId="0" shapeId="0">
      <text>
        <r>
          <rPr>
            <b/>
            <sz val="9"/>
            <color indexed="81"/>
            <rFont val="Tahoma"/>
            <family val="2"/>
          </rPr>
          <t>TSU:</t>
        </r>
        <r>
          <rPr>
            <sz val="9"/>
            <color indexed="81"/>
            <rFont val="Tahoma"/>
            <family val="2"/>
          </rPr>
          <t xml:space="preserve">
RV02050200359040014</t>
        </r>
      </text>
    </comment>
    <comment ref="H25" authorId="0" shapeId="0">
      <text>
        <r>
          <rPr>
            <b/>
            <sz val="9"/>
            <color indexed="81"/>
            <rFont val="Tahoma"/>
            <family val="2"/>
          </rPr>
          <t>TSU:</t>
        </r>
        <r>
          <rPr>
            <sz val="9"/>
            <color indexed="81"/>
            <rFont val="Tahoma"/>
            <family val="2"/>
          </rPr>
          <t xml:space="preserve">
RV02050200359040014</t>
        </r>
      </text>
    </comment>
    <comment ref="I25" authorId="0" shapeId="0">
      <text>
        <r>
          <rPr>
            <b/>
            <sz val="9"/>
            <color indexed="81"/>
            <rFont val="Tahoma"/>
            <family val="2"/>
          </rPr>
          <t>TSU:</t>
        </r>
        <r>
          <rPr>
            <sz val="9"/>
            <color indexed="81"/>
            <rFont val="Tahoma"/>
            <family val="2"/>
          </rPr>
          <t xml:space="preserve">
RV02050200359040015</t>
        </r>
      </text>
    </comment>
    <comment ref="G26" authorId="0" shapeId="0">
      <text>
        <r>
          <rPr>
            <b/>
            <sz val="9"/>
            <color indexed="81"/>
            <rFont val="Tahoma"/>
            <family val="2"/>
          </rPr>
          <t>TSU:</t>
        </r>
        <r>
          <rPr>
            <sz val="9"/>
            <color indexed="81"/>
            <rFont val="Tahoma"/>
            <family val="2"/>
          </rPr>
          <t xml:space="preserve">
RV02050200359050045</t>
        </r>
      </text>
    </comment>
    <comment ref="H26" authorId="0" shapeId="0">
      <text>
        <r>
          <rPr>
            <b/>
            <sz val="9"/>
            <color indexed="81"/>
            <rFont val="Tahoma"/>
            <family val="2"/>
          </rPr>
          <t>TSU:</t>
        </r>
        <r>
          <rPr>
            <sz val="9"/>
            <color indexed="81"/>
            <rFont val="Tahoma"/>
            <family val="2"/>
          </rPr>
          <t xml:space="preserve">
RV02050200359050045</t>
        </r>
      </text>
    </comment>
    <comment ref="I26" authorId="0" shapeId="0">
      <text>
        <r>
          <rPr>
            <b/>
            <sz val="9"/>
            <color indexed="81"/>
            <rFont val="Tahoma"/>
            <family val="2"/>
          </rPr>
          <t>TSU:</t>
        </r>
        <r>
          <rPr>
            <sz val="9"/>
            <color indexed="81"/>
            <rFont val="Tahoma"/>
            <family val="2"/>
          </rPr>
          <t xml:space="preserve">
RV02050200359050046</t>
        </r>
      </text>
    </comment>
    <comment ref="G27" authorId="0" shapeId="0">
      <text>
        <r>
          <rPr>
            <b/>
            <sz val="9"/>
            <color indexed="81"/>
            <rFont val="Tahoma"/>
            <family val="2"/>
          </rPr>
          <t>TSU:</t>
        </r>
        <r>
          <rPr>
            <sz val="9"/>
            <color indexed="81"/>
            <rFont val="Tahoma"/>
            <family val="2"/>
          </rPr>
          <t xml:space="preserve">
AP02050200359010110</t>
        </r>
      </text>
    </comment>
    <comment ref="H27" authorId="0" shapeId="0">
      <text>
        <r>
          <rPr>
            <b/>
            <sz val="9"/>
            <color indexed="81"/>
            <rFont val="Tahoma"/>
            <family val="2"/>
          </rPr>
          <t>TSU:</t>
        </r>
        <r>
          <rPr>
            <sz val="9"/>
            <color indexed="81"/>
            <rFont val="Tahoma"/>
            <family val="2"/>
          </rPr>
          <t xml:space="preserve">
AP02050200359010110</t>
        </r>
      </text>
    </comment>
    <comment ref="I27" authorId="0" shapeId="0">
      <text>
        <r>
          <rPr>
            <b/>
            <sz val="9"/>
            <color indexed="81"/>
            <rFont val="Tahoma"/>
            <family val="2"/>
          </rPr>
          <t>TSU:</t>
        </r>
        <r>
          <rPr>
            <sz val="9"/>
            <color indexed="81"/>
            <rFont val="Tahoma"/>
            <family val="2"/>
          </rPr>
          <t xml:space="preserve">
AP02050200359010111</t>
        </r>
      </text>
    </comment>
    <comment ref="G28" authorId="0" shapeId="0">
      <text>
        <r>
          <rPr>
            <b/>
            <sz val="9"/>
            <color indexed="81"/>
            <rFont val="Tahoma"/>
            <family val="2"/>
          </rPr>
          <t>TSU:
RV02050200359050184</t>
        </r>
      </text>
    </comment>
    <comment ref="H28" authorId="0" shapeId="0">
      <text>
        <r>
          <rPr>
            <b/>
            <sz val="9"/>
            <color indexed="81"/>
            <rFont val="Tahoma"/>
            <family val="2"/>
          </rPr>
          <t>TSU:</t>
        </r>
        <r>
          <rPr>
            <sz val="9"/>
            <color indexed="81"/>
            <rFont val="Tahoma"/>
            <family val="2"/>
          </rPr>
          <t xml:space="preserve">
RV02050200359050184</t>
        </r>
      </text>
    </comment>
    <comment ref="I28" authorId="0" shapeId="0">
      <text>
        <r>
          <rPr>
            <b/>
            <sz val="9"/>
            <color indexed="81"/>
            <rFont val="Tahoma"/>
            <family val="2"/>
          </rPr>
          <t>TSU:</t>
        </r>
        <r>
          <rPr>
            <sz val="9"/>
            <color indexed="81"/>
            <rFont val="Tahoma"/>
            <family val="2"/>
          </rPr>
          <t xml:space="preserve">
RV02050200359050185</t>
        </r>
      </text>
    </comment>
    <comment ref="G29" authorId="0" shapeId="0">
      <text>
        <r>
          <rPr>
            <b/>
            <sz val="9"/>
            <color indexed="81"/>
            <rFont val="Tahoma"/>
            <family val="2"/>
          </rPr>
          <t>TSU:</t>
        </r>
        <r>
          <rPr>
            <sz val="9"/>
            <color indexed="81"/>
            <rFont val="Tahoma"/>
            <family val="2"/>
          </rPr>
          <t xml:space="preserve">
RV02050200359060072</t>
        </r>
      </text>
    </comment>
    <comment ref="G30" authorId="0" shapeId="0">
      <text>
        <r>
          <rPr>
            <b/>
            <sz val="9"/>
            <color indexed="81"/>
            <rFont val="Tahoma"/>
            <family val="2"/>
          </rPr>
          <t>TSU:</t>
        </r>
        <r>
          <rPr>
            <sz val="9"/>
            <color indexed="81"/>
            <rFont val="Tahoma"/>
            <family val="2"/>
          </rPr>
          <t xml:space="preserve">
RV02050200359060072</t>
        </r>
      </text>
    </comment>
    <comment ref="G31" authorId="0" shapeId="0">
      <text>
        <r>
          <rPr>
            <b/>
            <sz val="9"/>
            <color indexed="81"/>
            <rFont val="Tahoma"/>
            <family val="2"/>
          </rPr>
          <t>TSU:</t>
        </r>
        <r>
          <rPr>
            <sz val="9"/>
            <color indexed="81"/>
            <rFont val="Tahoma"/>
            <family val="2"/>
          </rPr>
          <t xml:space="preserve">
RV02050200359060202</t>
        </r>
      </text>
    </comment>
    <comment ref="H31" authorId="0" shapeId="0">
      <text>
        <r>
          <rPr>
            <b/>
            <sz val="9"/>
            <color indexed="81"/>
            <rFont val="Tahoma"/>
            <family val="2"/>
          </rPr>
          <t>TSU:</t>
        </r>
        <r>
          <rPr>
            <sz val="9"/>
            <color indexed="81"/>
            <rFont val="Tahoma"/>
            <family val="2"/>
          </rPr>
          <t xml:space="preserve">
RV02050200359060202</t>
        </r>
      </text>
    </comment>
    <comment ref="I31" authorId="0" shapeId="0">
      <text>
        <r>
          <rPr>
            <b/>
            <sz val="9"/>
            <color indexed="81"/>
            <rFont val="Tahoma"/>
            <family val="2"/>
          </rPr>
          <t>TSU:</t>
        </r>
        <r>
          <rPr>
            <sz val="9"/>
            <color indexed="81"/>
            <rFont val="Tahoma"/>
            <family val="2"/>
          </rPr>
          <t xml:space="preserve">
RV02050200359060203</t>
        </r>
      </text>
    </comment>
    <comment ref="G32" authorId="0" shapeId="0">
      <text>
        <r>
          <rPr>
            <b/>
            <sz val="9"/>
            <color indexed="81"/>
            <rFont val="Tahoma"/>
            <family val="2"/>
          </rPr>
          <t>TSU:</t>
        </r>
        <r>
          <rPr>
            <sz val="9"/>
            <color indexed="81"/>
            <rFont val="Tahoma"/>
            <family val="2"/>
          </rPr>
          <t xml:space="preserve">
RV02050200359060280</t>
        </r>
      </text>
    </comment>
    <comment ref="H32" authorId="0" shapeId="0">
      <text>
        <r>
          <rPr>
            <b/>
            <sz val="9"/>
            <color indexed="81"/>
            <rFont val="Tahoma"/>
            <family val="2"/>
          </rPr>
          <t>TSU:</t>
        </r>
        <r>
          <rPr>
            <sz val="9"/>
            <color indexed="81"/>
            <rFont val="Tahoma"/>
            <family val="2"/>
          </rPr>
          <t xml:space="preserve">
RV02050200359060280</t>
        </r>
      </text>
    </comment>
    <comment ref="I32" authorId="0" shapeId="0">
      <text>
        <r>
          <rPr>
            <b/>
            <sz val="9"/>
            <color indexed="81"/>
            <rFont val="Tahoma"/>
            <family val="2"/>
          </rPr>
          <t>TSU:</t>
        </r>
        <r>
          <rPr>
            <sz val="9"/>
            <color indexed="81"/>
            <rFont val="Tahoma"/>
            <family val="2"/>
          </rPr>
          <t xml:space="preserve">
RV02050200359060281</t>
        </r>
      </text>
    </comment>
    <comment ref="G33" authorId="0" shapeId="0">
      <text>
        <r>
          <rPr>
            <b/>
            <sz val="9"/>
            <color indexed="81"/>
            <rFont val="Tahoma"/>
            <family val="2"/>
          </rPr>
          <t>TSU:</t>
        </r>
        <r>
          <rPr>
            <sz val="9"/>
            <color indexed="81"/>
            <rFont val="Tahoma"/>
            <family val="2"/>
          </rPr>
          <t xml:space="preserve">
02050200359070366</t>
        </r>
      </text>
    </comment>
    <comment ref="H33" authorId="0" shapeId="0">
      <text>
        <r>
          <rPr>
            <b/>
            <sz val="9"/>
            <color indexed="81"/>
            <rFont val="Tahoma"/>
            <family val="2"/>
          </rPr>
          <t>TSU:</t>
        </r>
        <r>
          <rPr>
            <sz val="9"/>
            <color indexed="81"/>
            <rFont val="Tahoma"/>
            <family val="2"/>
          </rPr>
          <t xml:space="preserve">
02050200359070366</t>
        </r>
      </text>
    </comment>
    <comment ref="I33" authorId="0" shapeId="0">
      <text>
        <r>
          <rPr>
            <b/>
            <sz val="9"/>
            <color indexed="81"/>
            <rFont val="Tahoma"/>
            <family val="2"/>
          </rPr>
          <t>TSU:</t>
        </r>
        <r>
          <rPr>
            <sz val="9"/>
            <color indexed="81"/>
            <rFont val="Tahoma"/>
            <family val="2"/>
          </rPr>
          <t xml:space="preserve">
02050200359070367</t>
        </r>
      </text>
    </comment>
    <comment ref="G35" authorId="0" shapeId="0">
      <text>
        <r>
          <rPr>
            <b/>
            <sz val="9"/>
            <color indexed="81"/>
            <rFont val="Tahoma"/>
            <family val="2"/>
          </rPr>
          <t>TSU:</t>
        </r>
        <r>
          <rPr>
            <sz val="9"/>
            <color indexed="81"/>
            <rFont val="Tahoma"/>
            <family val="2"/>
          </rPr>
          <t xml:space="preserve">
RV02050200359080027
</t>
        </r>
      </text>
    </comment>
    <comment ref="H35" authorId="0" shapeId="0">
      <text>
        <r>
          <rPr>
            <b/>
            <sz val="9"/>
            <color indexed="81"/>
            <rFont val="Tahoma"/>
            <family val="2"/>
          </rPr>
          <t>TSU:</t>
        </r>
        <r>
          <rPr>
            <sz val="9"/>
            <color indexed="81"/>
            <rFont val="Tahoma"/>
            <family val="2"/>
          </rPr>
          <t xml:space="preserve">
RV02050200359080027</t>
        </r>
      </text>
    </comment>
    <comment ref="I35" authorId="0" shapeId="0">
      <text>
        <r>
          <rPr>
            <b/>
            <sz val="9"/>
            <color indexed="81"/>
            <rFont val="Tahoma"/>
            <family val="2"/>
          </rPr>
          <t>TSU:</t>
        </r>
        <r>
          <rPr>
            <sz val="9"/>
            <color indexed="81"/>
            <rFont val="Tahoma"/>
            <family val="2"/>
          </rPr>
          <t xml:space="preserve">
RV02050200359080028
</t>
        </r>
      </text>
    </comment>
    <comment ref="G36" authorId="0" shapeId="0">
      <text>
        <r>
          <rPr>
            <b/>
            <sz val="9"/>
            <color indexed="81"/>
            <rFont val="Tahoma"/>
            <family val="2"/>
          </rPr>
          <t>TSU:</t>
        </r>
        <r>
          <rPr>
            <sz val="9"/>
            <color indexed="81"/>
            <rFont val="Tahoma"/>
            <family val="2"/>
          </rPr>
          <t xml:space="preserve">
RV02050200359080342</t>
        </r>
      </text>
    </comment>
  </commentList>
</comments>
</file>

<file path=xl/comments4.xml><?xml version="1.0" encoding="utf-8"?>
<comments xmlns="http://schemas.openxmlformats.org/spreadsheetml/2006/main">
  <authors>
    <author>TSU</author>
  </authors>
  <commentList>
    <comment ref="D9" authorId="0" shapeId="0">
      <text>
        <r>
          <rPr>
            <b/>
            <sz val="9"/>
            <color indexed="81"/>
            <rFont val="Tahoma"/>
            <family val="2"/>
          </rPr>
          <t>TSU:</t>
        </r>
        <r>
          <rPr>
            <sz val="9"/>
            <color indexed="81"/>
            <rFont val="Tahoma"/>
            <family val="2"/>
          </rPr>
          <t xml:space="preserve">
รับเงินสนันทุนวิจัยโครงการวิจัยและพัฒนาภาครัฐร่วมเอกชนในเชิงพาณิชย์ฯ เรื่อง โรงงานต้นแบบระบบเซลล์เชื้อเพลิงจุลชีพแบบยูบีเอฟฯ ผศ.ดร.ชลธิศา สุขเกษม จากสหกรณ์กองทุนสวนยางบ้านทุ่งแสงทอง จำกัด โอนผ่านธ.กรุงไทย043-9 วันที่4/12/57</t>
        </r>
      </text>
    </comment>
    <comment ref="D12" authorId="0" shapeId="0">
      <text>
        <r>
          <rPr>
            <b/>
            <sz val="9"/>
            <color indexed="81"/>
            <rFont val="Tahoma"/>
            <family val="2"/>
          </rPr>
          <t>TSU:</t>
        </r>
        <r>
          <rPr>
            <sz val="9"/>
            <color indexed="81"/>
            <rFont val="Tahoma"/>
            <family val="2"/>
          </rPr>
          <t xml:space="preserve">
โครงการวิจัยเรื่อง การประเมินศักยภาพของพลังงานลมนอกชายฝั่งทะเลและความเป็นไปได้เบื้องต้นของโรงไฟฟ้าฟาร์มกังหันลมนอกชายฝั้งทะเล งวดสุดท้าย-การไฟฟ้าส่วนภูมิภาค</t>
        </r>
      </text>
    </comment>
    <comment ref="D17" authorId="0" shapeId="0">
      <text>
        <r>
          <rPr>
            <b/>
            <sz val="9"/>
            <color indexed="81"/>
            <rFont val="Tahoma"/>
            <family val="2"/>
          </rPr>
          <t>TSU:</t>
        </r>
        <r>
          <rPr>
            <sz val="9"/>
            <color indexed="81"/>
            <rFont val="Tahoma"/>
            <family val="2"/>
          </rPr>
          <t xml:space="preserve">
รับเงินทุนวิจัยภายนอก จ้างสำรวจและรวบรวมผลงานวิจัยและพัฒนานวัตกรรมทางการศึกษาฯ จากสนง.เลขาธิการสภาการศึกษา เงินเข้าทุนวิจัยภายนอก51,300.-/เข้ากองทุน2,850.- และเข้าหน่วยงานต้นสังกัด-คณะศึกษาศาสตร์ 2,850.- PR2-2558:5/3</t>
        </r>
      </text>
    </comment>
    <comment ref="B18" authorId="0" shapeId="0">
      <text>
        <r>
          <rPr>
            <b/>
            <sz val="9"/>
            <color indexed="81"/>
            <rFont val="Tahoma"/>
            <family val="2"/>
          </rPr>
          <t>TSU:</t>
        </r>
        <r>
          <rPr>
            <sz val="9"/>
            <color indexed="81"/>
            <rFont val="Tahoma"/>
            <family val="2"/>
          </rPr>
          <t xml:space="preserve">
รับ20/7/2558</t>
        </r>
      </text>
    </comment>
    <comment ref="D18" authorId="0" shapeId="0">
      <text>
        <r>
          <rPr>
            <b/>
            <sz val="9"/>
            <color indexed="81"/>
            <rFont val="Tahoma"/>
            <family val="2"/>
          </rPr>
          <t>TSU:</t>
        </r>
        <r>
          <rPr>
            <sz val="9"/>
            <color indexed="81"/>
            <rFont val="Tahoma"/>
            <family val="2"/>
          </rPr>
          <t xml:space="preserve">
ปรัปบรุงเงินรับฝาก-คณะวิทยาการสุขภาพและการกีฬา เป็น เงินกองทุนวิจัยมหาวิทยาลัยทักษิณ ตามศธ64.26/2612 ลว.18 กย.58 โครงการวิจัย เรื่อง การประเมินผลโครงการภายใต้งบสร้างเสริมสุขภาพและป้องกันโรค ปี2558 สปสช.</t>
        </r>
      </text>
    </comment>
  </commentList>
</comments>
</file>

<file path=xl/sharedStrings.xml><?xml version="1.0" encoding="utf-8"?>
<sst xmlns="http://schemas.openxmlformats.org/spreadsheetml/2006/main" count="5887" uniqueCount="2905">
  <si>
    <t>ทะเบียนคุมเงินทุนวิจัยภายนอก ปีงบประมาณ 2559</t>
  </si>
  <si>
    <t>วันที่รับเงิน</t>
  </si>
  <si>
    <t>เลขที่ใบเสร็จ</t>
  </si>
  <si>
    <t>หน่วยงาน</t>
  </si>
  <si>
    <t>จำนวนเงิน</t>
  </si>
  <si>
    <t>งบประมาณจัดสรร</t>
  </si>
  <si>
    <t>เอกสารการเบิกจ่าย</t>
  </si>
  <si>
    <t>งบประมาณคงเหลือ</t>
  </si>
  <si>
    <t>งบดำเนินงาน</t>
  </si>
  <si>
    <t>กองทุนวิจัย</t>
  </si>
  <si>
    <t>รายละเอียดโครงการ</t>
  </si>
  <si>
    <t>-</t>
  </si>
  <si>
    <t>PR2-2559:1/1</t>
  </si>
  <si>
    <t>คณะเทคโนฯ</t>
  </si>
  <si>
    <t>ทุน อาภรณ์ส่งแสง การศึกษาระบบการเลี้ยงควายในพื้นที่อนุรักษ์(ทะเลน้อย)</t>
  </si>
  <si>
    <t>PL2-2559:1/1</t>
  </si>
  <si>
    <t>คณะเศรษฐศาสตร์</t>
  </si>
  <si>
    <t>สำรวจความพึงพอใจของประชาชนที่มีผลต่อองค์ปกครองส่วนท้องถิ่น-สูธรรม ขนาบศักดิ์</t>
  </si>
  <si>
    <t>PR2-2559:1/9</t>
  </si>
  <si>
    <t>คณะศึกษาศาสตร์</t>
  </si>
  <si>
    <t>ค่าบำรุงสถาบัน(งวดพิเศษก) การเรียนรู้และปรับตัวเพื่อนการดำรงอยู่ในวิถีเมืองเสี่ยงภัย</t>
  </si>
  <si>
    <t>PL2-2559:1/10</t>
  </si>
  <si>
    <t>คณะวิทยาศาสตร์</t>
  </si>
  <si>
    <t>การจัดการของเสียอินทรีย์ด้วยระบบหมักฯ</t>
  </si>
  <si>
    <t>PR2-2559:1/14</t>
  </si>
  <si>
    <t>PR2-2559:1/18-19</t>
  </si>
  <si>
    <t>PR2-2559:1/29</t>
  </si>
  <si>
    <t>PR2-2559:1/45</t>
  </si>
  <si>
    <t>PR2-2559:2/7</t>
  </si>
  <si>
    <t>โครงการวิจัยพัฒนาและวิศวกรรม เรื่องการจำกัดต้นกงในทะเล -ผศ.ศิริลักษณ์ ช่วยพนัก</t>
  </si>
  <si>
    <t>PR2-2559:2/8</t>
  </si>
  <si>
    <t>โครงการวิจัยพัฒนาและวิศวกรรม เรื่องการเปรียบเทียบผลเฉลยของแบบจำลองฯ-อ.จันทวรรณ น้อยศรี</t>
  </si>
  <si>
    <t>PR2-2559:2/11</t>
  </si>
  <si>
    <t>คณะมนุษยศาสตร์</t>
  </si>
  <si>
    <t>ดำเนินการสำรวจระดับความพึงพอใจของผู้ใช้บริการรถไฟในปี58-อ.ดร.อรพิน บุญสิน</t>
  </si>
  <si>
    <t>ศธ.64.26/0061</t>
  </si>
  <si>
    <t>รายการปรับปรุง</t>
  </si>
  <si>
    <t>PR2-2559:2/15</t>
  </si>
  <si>
    <t>ค่าตอบแทนสถาบันจากโครงการ การกระจายอำนาจการศึกษาให้แก่ อป.-ผศ.ดร.เรวดี กระโหมวงศ์</t>
  </si>
  <si>
    <t>PR2-2559:2/23</t>
  </si>
  <si>
    <t>PR2-2559:2/33</t>
  </si>
  <si>
    <t xml:space="preserve">ดำเนินการสำรวจและรวบรวมผลงานวิจัยและพัฒนานวัตกรรมทางการศึกษาฯ จาก สนง.เลขาธิการสภาการศึกษา </t>
  </si>
  <si>
    <t>PR2-2559:2/36</t>
  </si>
  <si>
    <t>PR2-2559:3/32</t>
  </si>
  <si>
    <t>รับเงินโอนค่าจ้างผู้เชี่ยวชาญรายบุคคลให้ดำเนินการวิจัยจากสำนักเลขาธิการสภาการศึกษา อ.ดร.นวลพรรณ วรรณสุธี โครงการนำร่องจังหวัดประชาคมปฏิรูปการเรียนรู้งวดที่3 โอนผ่านธ.กรุงไทย082-4 วันที่5/2/2559 PR2-2559:3/32(เงินทุนวิจัย=147,487.50/เข้ากองทุนวิจัย=8,193.75/เข้าคณะศึกษาศาสตร์=8,193.75)</t>
  </si>
  <si>
    <t>PR2-2559:3/41</t>
  </si>
  <si>
    <t xml:space="preserve">รับเงินโอนโครงการวิจัยชุมชน การจัดการของเสียอินทรีย์ด้วยระบบหม่อหมักก๊าซชีวภาพ รร.บ้านโตน :ผศ.ดร.อุษา อ้นทอง โอนผ่านธ.ไทยพาณิชย์220-3 วันที่27/11/58 PR2-2559:3/41เข้าทุนวิจัยภายนอก=24,948.- เข้ากองทุนวิจัย=1,386.- เข้าคณะวิทยาศาสตร์=1,386.- </t>
  </si>
  <si>
    <t>PR2-2559:3/46</t>
  </si>
  <si>
    <t>PR2-2559:4/2</t>
  </si>
  <si>
    <t>ที่ปรึกษาโครงการวิจัยเทศบาลนครสงขลา โดย รศ.ดร.พูนสุข อุดม เรื่องการสร้างและพัฒนาหลักสูตรความเป็นเลิศด้านวิทยาศาสตร์</t>
  </si>
  <si>
    <t>PR2-2559:4/11</t>
  </si>
  <si>
    <t>คณะ วสก.</t>
  </si>
  <si>
    <t>รับเงินโอนทุนวิจัยภายนอก วิจัยเรื่อง การประเมินผลโครงการภายใต้งบสร้างเสริมสุขภาพและป้องกันโรค ปี2558 จาก สนง.หลักประกันสุขภาพแห่งชาติเขต12 สงขลา เงินโอนผ่าน ธ.ไทยพาณิชย์ 220-3 วันที่24,30 มีค.59 -PR2-2559:4/11(เงินเข้ากองทุนวิจัย81,000+4500=85,500 บาท และเข้าเงินรับฝาก-คณะวสก.=4,500 บาท)</t>
  </si>
  <si>
    <t>PR2-2559:4/12</t>
  </si>
  <si>
    <t>รับเงินโอนทุนวิจัยภายนอก วิจัยเรื่อง การติดตามเยี่ยมสำรวจเพื่อการพัฒนาคุณภาพบริการปฐมภูมิฯ จาก สนง.หลักประกันสุขภาพแห่งชาติเขต12 สงขลา เงินโอนผ่าน ธ.กรุงไทย 082-4 วันที่29 มีค.59 -PR2-2559:4/12(เงินเข้ากองทุนวิจัย216,000+12,000=228,000 บาท และเข้าเงินรับฝาก-คณะวสก.=12,000 บาท)</t>
  </si>
  <si>
    <t>PR2-2559:4/44</t>
  </si>
  <si>
    <t>รับเงินโอนทุนวิจัยภายนอก วิจัยเรื่อง การคำนวณและการดูดซับโลหะหนักในน้ำฯ จาก สนง.พัฒนาวิทยาศาสตร์และเทคโนโลยี(สวทช.) เงินโอนผ่าน ธ.ไทย 626-2 วันที่12 เมย.59 -PR2-2559:4/44(เงินเข้ากองทุนวิจัย111,000+15,000=126,000 บาท และเข้าเงินรับฝาก-คณะวิทย์.=15,000 บาท)นิรมล จันทรชาติ</t>
  </si>
  <si>
    <t>PR2-2559:4/48</t>
  </si>
  <si>
    <t>รับเงินโอนทุนวิจัยภายนอก วิจัยเรื่อง การประเมินศักยภาพพลังงานลมฯงวดที่4-5 ผศ.ดร.จอมภพ แววศักดิ์ จาก สนง.คณะกรรมการวิจัยแห่งชาติ(วช.) เงินโอนผ่าน ธ.ไทยพาณิชย์ 626-0 วันที่12 พค.59 -PR2-2559:4/48(เงินเข้ากองทุนวิจัย127,512+7,084=134,596 บาท และเข้าเงินรับฝาก-คณะวิทย์.=7,084 บาท)</t>
  </si>
  <si>
    <t>PR2-2559:5/7</t>
  </si>
  <si>
    <t>รับเงินโอนทุนวิจัยภายนอก เรื่องสำรวจความพึงพอใจของผู้ใช้บริการรถไฟไทยในปี2558 จากฝ่ายการเดินรถ การรถไฟแห่งประเทศไทย โดยอ.ดร.อรพิน บุญสิน PR2-2559:5/7 ธ.กรุงไทย082-4 วันที่17/5/59 เข้าทุนวิจัยภายนอก1,226,520+25,140=1,251,600 บาท  เข้าคณะมนุษยศาสตร์=25,140 บาท</t>
  </si>
  <si>
    <t>PR2-2559:5/37</t>
  </si>
  <si>
    <t>รับเงินโอนโครงการวิจัยและนวัตกรรมเพื่อถ่ายทอดเทคโนโลยีชุมชนฐานราก ปีงบ2559 2 ทุน จากม.ราชภัฎสงขลา ของอ.สุนิสา คงประสิทธิ์=80,000 และจารุวรรณ ชูสงค์=70,000.- เงินเข้าทุนวิจัยภายนอก100% ยกเว้นค่าธรรมเนียม PR2-2559:5/37</t>
  </si>
  <si>
    <t>วิทยาลัยภูมิปัญญาชุมชน</t>
  </si>
  <si>
    <t>PR2-2559:5/40</t>
  </si>
  <si>
    <t>รับเงินโอนทุนวิจัยภายนอก วิจัยเรื่อง การจัดการเพื่อการพัฒนาชุมชนเมืองและที่อยู่อาศัยฯ จากการเคหะแห่งชาติ โดยอ.ทวนธง ครุฑจ้อน PR2-2559:5/40 (เงินเข้ากองทุนวิจัย=330,600.- เข้าคณะมนุษศาสตร์=17,400.- )</t>
  </si>
  <si>
    <t>PR2-2559:5/46</t>
  </si>
  <si>
    <t>รับเงินโอนสนับสนุนการวิจัยจากสนง.เครือข่ายอุดมศึกษาฯ เรื่องส่งเสริมวิสาหกิจขนาดกลางและขนาดย่อมโครงการที่1:โครงการจัดตั้งศูนย์บ่มเพาะวิสาหกิจโดย ผศ.ดร.อมลวรรณ วีระธรรมโม จาก ม.สงขลานครินทร์ โอนSCB626-0 วันที่24-6-59 PR2-2559:5/46 (เข้ากองทุนวิจัย=266,000.-  เข้าคณะศึกษาศาสตร์=14,000.-)</t>
  </si>
  <si>
    <t>PR2-2559:6/8-9</t>
  </si>
  <si>
    <t>รับเงินโอนค่าจ้างผู้เชี่ยวชาญรายบุคคลให้ดำเนินการวิจัยจากสำนักเลขาธิการสภาการศึกษา อ.ดร.นวลพรรณ วรรณสุธี โครงการนำร่องจังหวัดประชาคมปฏิรูปการเรียนรู้งวดที่2-3 โอนผ่านธ.กรุงไทย082-4 วันที่29/7/2559 PR2-2559:6/8-9(เงินทุนวิจัย=465,750/เข้ากองทุนวิจัย=25,875/เข้าคณะศึกษาศาสตร์=25,875)</t>
  </si>
  <si>
    <t>PR2-2559:6/10</t>
  </si>
  <si>
    <t>รับเงินโอนทุนวิจัยภายนอก วิจัยเรื่อง ความเปลี่ยนแปลงและกระบวนการสร้างประชาธิปไตยในชนบท ของผศ.ดร.ณฐพงศ์ จิตรนิรัตน์ จากสำนักงานกองทุนสนับสนุนการวิจัย(สกว.) เงินตอบแทนสถาบัน(งวดพิเศษ ก)เงินโอนผ่าน ธ.กรุงไทย 082-4 วันที่07 กค.59 -PR2-2559:6/10(เงินเข้ากองทุนวิจัย76,400)</t>
  </si>
  <si>
    <t>PL2-2559:1/6</t>
  </si>
  <si>
    <t>รับเงินโอนทุนวิจัยภายนอก สำรวจความพึงพอใจของประชาชนที่มีผลต่อองค์ปกครองส่วนท้องถิ่น จาก อบต.บ้านตูลโดยสุธรรม ขนาบศักดิ์ PL2-2559:1/6 ธ.กรุงไทย082-4 วันที่2/8/59 เข้าทุนวิจัยภายนอก22,500+1,250=23,750 บาท  เข้าคณะเศรษฐศาสตร์=1,250 บาท</t>
  </si>
  <si>
    <t>PR2-2559:6/26</t>
  </si>
  <si>
    <t>รับเงินโอนทุนวิจัยภายนอก เรื่องสำรวจความพึงพอใจของผู้ใช้บริการรถไฟไทยในปี2558 จากฝ่ายการเดินรถ การรถไฟแห่งประเทศไทย โดยอ.ดร.อรพิน บุญสิน PR2-2559:6/26 ธ.กรุงไทย082-4 วันที่15/8/59 เข้าทุนวิจัยภายนอก 96,000 บาท  เข้าคณะมนุษยศาสตร์=0.00 บาท</t>
  </si>
  <si>
    <t>PR2-2559:6/37</t>
  </si>
  <si>
    <t>สถาบันปฏิบัติการชุมชนเพื่อการศึกษาฯ</t>
  </si>
  <si>
    <t>รับเงินโอนทุนวิจัยภายนอก ทุนอุดหนุนการทำกิจกรรมส่งเสริมและสนับสนุนการวิจัย จากสำนักงานคณะกรรมการการวิจัยแห่งชาติ โดยอ.ดร.ทวีเดช  ไชยนาพงษ์ PR2-2559:6/37 โอนผ่านธ.กรุงไทย082-4 วันที่30/8/59 เข้าทุนวิจัยภายนอก 28,500 บาท  เข้าสถาบันปฏิบัติการชุมชนเพื่อการศึกษาฯ=28,500.00 บาท</t>
  </si>
  <si>
    <t>PL2-2559:1/8</t>
  </si>
  <si>
    <t>รับเช็คเลขที่10012957 ธ.กรุงไทย เป็นเงินทุนวิจัยภายนอก สำรวจความพึงพอใจของประชาชนที่มีผลต่อองค์ปกครองส่วนท้องถิ่น จาก อบต.คลองแดน โดยสุธรรม ขนาบศักดิ์ PL2-2559:1/8 เข้าทุนวิจัยภายนอก18,000+1,000=19,000 บาท  เข้าคณะเศรษฐศาสตร์=1,000 บาท</t>
  </si>
  <si>
    <t>รับเงินโอนทุนวิจัยภายนอก ทุนอุดหนุนการวิจัยส่งเสริมและสนับสนุนการวิจัยที่มุ่งเป้าด้านพลาสติกชีวภาพ จากสำนักงานพัฒนาเศรษฐกิจจากฐานชีวภาพ โดยอ.ดร.นันทรัตน์ พฤกษาพิทักษ์ PR2-2559:7/2 โอนผ่าน SCB220-3 วันที่22/9/59 เข้าทุนวิจัยภายนอก 191,420.25 บาท  เข้าคณะเศรษฐศาสตร์=10,074.75 บาท</t>
  </si>
  <si>
    <t>รับเงินโอนทุนวิจัยภายนอก สำรวจความพึงพอใจของประชาชนที่มีผลต่อองค์ปกครองส่วนท้องถิ่น จาก อบต.ท่าศาลาและ เทศบาลโคกม่วง โดยสุธรรม ขนาบศักดิ์ PR2-2559:7/7-8 KTB082-4 วันที่22/9/59 และSCB220-3 วันที่27,28/9/59 เข้าทุนวิจัยภายนอก40,500+2,250=42,750 บาท  เข้าคณะเศรษฐศาสตร์=2,250 บาท</t>
  </si>
  <si>
    <t>รับเงินโอนทุนวิจัยภายนอก สำรวจความพึงพอใจของประชาชนที่มีผลต่อองค์ปกครองส่วนท้องถิ่น จาก 5 อบต. โดยสุธรรม ขนาบศักดิ์ PL2-2559:1/9 KTB082-4 วันที่27/9/59 เข้าทุนวิจัยภายนอก90,000+5,000=95,000 บาท  เข้าคณะเศรษฐศาสตร์=5,000 บาท</t>
  </si>
  <si>
    <t>รับเงินโอนทุนวิจัยภายนอก จ้างที่ปรึกษาดำเนินการศึกษาเรื่องแนวโน้มความต้องการกำลังคนของตลาดแรงงานฯ จาก สนง.เลขาธิการสภาการศึกษาโดย รศ.ดร.นิรันดร์ จุลทรัพย์ PR2-2559:7/11 ธ.กรุงไทย082-4 วันที่19/9/59 เข้าทุนวิจัยภายนอก51,300+2,850=54,150 บาท  เข้าคณะศึกษาศาสตร์=2,850 บาท</t>
  </si>
  <si>
    <t>แผนงาน</t>
  </si>
  <si>
    <t>บริหารจัดการทั่วไปกองทุน/บริหารจัดการทั่วไป-กองทุนวิจัย 54020100</t>
  </si>
  <si>
    <t>สถาบันวิจัยและพัฒนา 011100000</t>
  </si>
  <si>
    <t>กองทุน</t>
  </si>
  <si>
    <t>กองทุนวิจัยมหาวิทยาลัยทักษิณ 080100</t>
  </si>
  <si>
    <t>รายการ</t>
  </si>
  <si>
    <t>กองทุนวิจัยมหาวิทยาลัยทักษิณ</t>
  </si>
  <si>
    <t>รหัสบัญชี</t>
  </si>
  <si>
    <t>21060801010005</t>
  </si>
  <si>
    <t>ทะเบียนคุมเงินทุนวิจัยภายนอก ปีงบประมาณ 2560</t>
  </si>
  <si>
    <t>ชื่อผู้รับทุน</t>
  </si>
  <si>
    <t>บัญรับโอนเงิน
 เข้าบัญชีธนาคาร</t>
  </si>
  <si>
    <t>จัดสรรเข้ากองทุนวิจัย</t>
  </si>
  <si>
    <t>เงินรับฝาก
(หน่วยงาน)</t>
  </si>
  <si>
    <t>ตอบแทนกองทุนวิจัย</t>
  </si>
  <si>
    <t>กองทุนวิจัย(ให้แก่นักวิจัย)</t>
  </si>
  <si>
    <t>เงินรับฝาก(หน่วยงานสังกัดพัทลุง)</t>
  </si>
  <si>
    <t>ตอบแทน
กองทุนวิจัย</t>
  </si>
  <si>
    <t>กองทุนวิจัย
(ให้แก่นักวิจัย)</t>
  </si>
  <si>
    <t>จ่ายให้แก่นักวิจัย</t>
  </si>
  <si>
    <t>เลขที่เอกสารจ่าย</t>
  </si>
  <si>
    <t>อาจารย์ อัศว์ศิริ ลาปีอี</t>
  </si>
  <si>
    <t>ทุนอุดหนุนการทำวิจัยตามสัญญาเลขที่ 59-01-05 จากศูนย์วิจัยและจัดการความรู้เพื่อการควบคุมยาสูบ (ศจย.) เรื่อง ความสัมพันธ์ระหว่างการรับรู้และอิทธิพลจากสื่อกับการปรับเปลี่ยนพฤติกรรมการสูบบุหรี่ของเยาวชนในระดับอาชีวศึกษาพื้นที่สามจังหวัดชายแดนภาคใต้ (งบประมาณรวม 400,000.00 บาท)</t>
  </si>
  <si>
    <t>คณะมนุษยศาสตร์และสังคมศาสตร์/สาขารัฐประศาสนศาสตร์และการจัดการทรัพยากรมนุษย์</t>
  </si>
  <si>
    <t>PR2-2560:1/7</t>
  </si>
  <si>
    <t>SCB 405-658626-0</t>
  </si>
  <si>
    <t>รศ.ดร.พูนสุข อุดม</t>
  </si>
  <si>
    <t>สัญญาจ้างที่ปรึกษาเลขที่ 43/2558 จากเทศบาลนครสงขลา ว่าจ้างเป็นที่ปรึกษาโครงการวิจัยของเทศบาลนครสงขลา ตั้งแต่ปี 2559 เรื่อง การสร้างและพัฒนาหลักสูตรความเป็นเลิศด้านวิทยาศาสตร์ (แผนการเรียนวิทยาศาสตร์ตั้งแต่ระดับอนุบาลศึกษาไปจนถึงระดับมัธยมศึกษาตอนปลาย เพื่อบ่มเพาะผู้เรียนให้มีความเป็นเลิศด้านวิทยาศาสตร์) (งบประมาณรวม 7,000,000.00 บาท) งวดที่ 2</t>
  </si>
  <si>
    <t>PR2-2560:1/10</t>
  </si>
  <si>
    <t>AP01110000060100001</t>
  </si>
  <si>
    <t>ผู้ช่วยศาสตราจารย์สุธรรม ขนาบศักดิ์</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</si>
  <si>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27 หน่วยงาน (ตามเอกสาร S1449/01-14,S1449/16-22,S1449/27-30,S1449/32-33)</t>
  </si>
  <si>
    <t>คณะเศรษฐศาสตร์และบริหารธุรกิจ</t>
  </si>
  <si>
    <t>PR2-2560:1/19</t>
  </si>
  <si>
    <t>KTB 982-6-53082-4</t>
  </si>
  <si>
    <t>AP01110000060100013</t>
  </si>
  <si>
    <t>อาจารย์ ทวนธง ครุฑจ้อน</t>
  </si>
  <si>
    <t>สัญญาจ้างจัดทำโรงการศึกษาวิจัย การจัดการเพื่อการพัฒนาชุมชนเมืองและที่อยู่อาศัยในเขตการค้าชายแดนไทย-มาเลเชีย ตามสัญญาเลขที่ พด.223/59 จากหน่วยงานการเคหะแห่งชาติ งวดที่ 2</t>
  </si>
  <si>
    <t>PR2-2560:1/24</t>
  </si>
  <si>
    <t>AP01110000060110007</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</si>
  <si>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14 หน่วยงาน (ตามเอกสาร 0631/01-0631/3,0631/5-0631/13,0631/16-0631/19)</t>
  </si>
  <si>
    <t>PR2-2560:1/25</t>
  </si>
  <si>
    <t>AP01110000060110010</t>
  </si>
  <si>
    <t>อ.ดร.พินิจ ดวงจินดา</t>
  </si>
  <si>
    <t>สัญญาจ้างเลขที่ 1/2560 จากองค์การบริหารส่วนตำบลนาเกตุ ตำบลนาเกตุ อำเภอโคกโพธิ์ จังหวัดปัตตานี ได้ว่าจ้างให้ทำการประเมินประสิทธิภาพและประสิทธิผลการปฏิบัติราชการ สำรวจความพึงพอใจของผู้บริหาร ตามคำรับรองการปฏิบัติราชการ ประจำปีงบประมาณ 2559 ในตัวชี้วัดที่ 1 มิติที่ 2 ด้านคุณภาพการให้บริการขององค์การบริหารส่วนตำบลนาเกตุ อำเภอโคกโพธิ์ จังหวัดปัตตานี (ตามเอกสาร 0642/1  และ 0642/2)</t>
  </si>
  <si>
    <t>PL2-2560:1/2</t>
  </si>
  <si>
    <t>AP01110000060110014</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</si>
  <si>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9หน่วยงาน (ตามเอกสาร S1499/34 - S1499/42)</t>
  </si>
  <si>
    <t>PR2-2560:1/33</t>
  </si>
  <si>
    <t>AP01110000060110024</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</si>
  <si>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19หน่วยงาน (ตามเอกสาร 0593/2-3,0593/5-8,0593/10-12,0593/15-16,0593/18,0593/21-24,0593/27-28,0593/31)</t>
  </si>
  <si>
    <t>PL2-2560:1/3</t>
  </si>
  <si>
    <t>AP01110000060120003</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</si>
  <si>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16หน่วยงาน (ตามเอกสาร 0630/3-4,0630/6,0630/8,0630/10,0630/12,0630/16-18,0630/20,0631/20-24,0631/27)</t>
  </si>
  <si>
    <t>PL2-2560:1/4</t>
  </si>
  <si>
    <t>AP01110000060120004</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</si>
  <si>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22หน่วยงาน (ตามเอกสาร 0593/1,0593/4,0593/9,0593/13,0593/17,0593/19-20,0593/25,0593/29-30,0593/32,0631/4,0631/15,0631/25,0630/1,0630/5,0630/9,0630/11,0630/13-15,0630/19)</t>
  </si>
  <si>
    <t>PL2-2560:1/5</t>
  </si>
  <si>
    <t>AP01110000060120007</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</si>
  <si>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1หน่วยงาน (ตามเอกสาร 0630/2)</t>
  </si>
  <si>
    <t>PL2-2560:1/6</t>
  </si>
  <si>
    <t>AP01110000060120030</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</si>
  <si>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7หน่วยงาน (ตามเอกสาร 0630/7,S1499/43-48)</t>
  </si>
  <si>
    <t>PL2-2560:1/7</t>
  </si>
  <si>
    <t>AP01110000060120037</t>
  </si>
  <si>
    <t>ธนาคารไทยพาณิชย์ จำกัด (มหาชน)</t>
  </si>
  <si>
    <t>บันทึกรายการรับดอกเบี้ยครึ่งปีหลังของปี2559</t>
  </si>
  <si>
    <t>สถาบันวิจัยและพัฒนา</t>
  </si>
  <si>
    <t>ธนาคารกรุงไทย จำกัด (มหาชน)</t>
  </si>
  <si>
    <t>รศ.ดร.ปุญญพัฒน์ ไชยเมลล์</t>
  </si>
  <si>
    <t>ข้อตกลงเลขที่ 59A00589 ลว.28/03/2559 เพื่อรับงบประมาณสนับสนุนการวิจัยจากสำนักงานหลักประกันสุขภาพแห่งชาติ เขต 12 สงขลา โครงการการติดตามเยี่ยมสำรวจเพื่อการพัฒนาคุณภาพบริการปฐมภูมิ ตามตัวชี้วัดเกณฑ์คุณภาพและผลงานบริการปฐมภูมิ งวดที่ 2 (ทุนสนับสนุนรวม 300,000 บาท)</t>
  </si>
  <si>
    <t>คณะวิทยาการสุขภาพและการกีฬา</t>
  </si>
  <si>
    <t>PR2-2560:2/15</t>
  </si>
  <si>
    <t>AP01110000060010010</t>
  </si>
  <si>
    <t>ดร.อรพินท์ บุญสิน</t>
  </si>
  <si>
    <t>ทุนอุดหนุนดำเนินการวิจัยแผนงานวิจัยเรื่อง สำรวจระดับความพึงพอใจของผู้ใช้บริการรถไฟปี 2559 จากฝ่ายการเดินรถ การรถไฟแห่งประเทศไทย ในวงเงินราคากลาง 2,030,000.00 บาท งวดที่ 1</t>
  </si>
  <si>
    <t>คณะมนุษยศาสตร์และสังคมศาสตร์</t>
  </si>
  <si>
    <t>PR2-2560:2/18</t>
  </si>
  <si>
    <t>AP01110000060010039</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</si>
  <si>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4หน่วยงาน (ตามเอกสาร 0631/28-29 , 0631/31-32)</t>
  </si>
  <si>
    <t>PL2-2560:1/8</t>
  </si>
  <si>
    <t>AP01110000060010027</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</si>
  <si>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2หน่วยงาน (ตามเอกสาร 0631/30 , 0631/33)</t>
  </si>
  <si>
    <t>PR2-2560:3/4</t>
  </si>
  <si>
    <t>AP01110000060020025</t>
  </si>
  <si>
    <t>อ.ดร.นันทรัตน์ พฤกษาพิทักษ์</t>
  </si>
  <si>
    <t>ทุนอุดหนุนการวิจัยส่งเสริมและสนับสนุนการวิจัยที่มุ่งเป้าด้านพลาสติกชีวภาพ ประจำปีงบประมาณ 2559 จากสำนักงานพัฒนาเศรษฐกิจจากฐานชีวภาพ(องค์การมหาชน) ตามสัญญาเลขที่ สพภ.-วช.31/2559 งวดที่ 2</t>
  </si>
  <si>
    <t>PR2-2560:3/5</t>
  </si>
  <si>
    <t>SCB 403-487220-3</t>
  </si>
  <si>
    <t>AP01110000060030007</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</si>
  <si>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1หน่วยงาน (ตามเอกสาร S-1499/49)</t>
  </si>
  <si>
    <t>PL2-2560:1/9</t>
  </si>
  <si>
    <t>AP0111000060030022</t>
  </si>
  <si>
    <t>ทุนอุดหนุนดำเนินการวิจัยแผนงานวิจัยเรื่อง สำรวจระดับความพึงพอใจของผู้ใช้บริการรถไฟปี 2559 จากฝ่ายการเดินรถ การรถไฟแห่งประเทศไทย ในวงเงินราคากลาง 2,030,000.00 บาท งวดที่ 2</t>
  </si>
  <si>
    <t>PR2-2560:3/30</t>
  </si>
  <si>
    <t>AP01110000060030034</t>
  </si>
  <si>
    <t>อาจารย์ ดร.ทวีเดช ไชยนาพงษ์</t>
  </si>
  <si>
    <t>เงินค่าธรรมเนียม ร้อยละ 10 ตามระเบียบคณะกรรมการการเงินและทรัพย์สิน ว่าด้วยการบริหารจัดการทุนอุดหนุนการวิจัยจากแหล่งทุนภายนอก พ.ศ.2557 โดยคำนวณจากยอดเงินสนับสนุนการวิจัยประจำปี 2559 เรื่อง ผลิตภัณฑ์มูลค่าเพิ่มจากสวนผลไม้โดยใช้กรีนเทคโนโลยี กรณีศึกษาสวนผลไม้ชุมชนตำบลหนองธง อ.ป่าบอน จังหวัดพัทลุง (ทุนวิจัยรวม 2,000,000.00 บาท ซึ่งงวดที่ 1 ยอดรับ 570,000 บาท งวดที่ 2 ยอดรับ 760,000 บาท)</t>
  </si>
  <si>
    <t>สถาบันปฏิบัติการชุมชนเพื่อการศึกษาแบบบูรณาการ</t>
  </si>
  <si>
    <t>PR2-2560:3/34</t>
  </si>
  <si>
    <t>ผู้ช่วยศาสตราจารย์ ดร.อมลวรรณ วีระธรรมโม</t>
  </si>
  <si>
    <t>ทุนอุดหนุนการวิจัยจากสำนักงานเครือข่ายอุดมศึกษาภาคใต้ตอนล่าง โครงการการพัฒนาศักยภาพครูและนักเรียนในระดับประถมศึกษาให้มีทักษะศตวรรษที่ 21 และส่งเสริมคุณธรรมจริยธรรมผ่านกิจกรรมลดเวลาเรียนเพิ่มเวลารู้ ในสถานศึกษาระดับประถมศึกษา จังหวัดสงขลา โดยใช้กระบวนการสอนงานและเป็นพี่เลี้ยง วงเงินทั้งหมด 900,000.00 บาท</t>
  </si>
  <si>
    <t>PR2-2560:3/44</t>
  </si>
  <si>
    <t>AP01110000060040012</t>
  </si>
  <si>
    <t>สัญญาจ้างเลขที่ 19/2560 จากสำนักงานเลขาธิการสภาการศึกษา มีความประสงค์จะจ้างที่ปรึกษาเพื่อปฏิบัติงานตามโครงการวิจัยและพัฒนารูปแบบ กลไกลการเสริมสร้างวินัยในสถานศึกษาระดับการศึกษาขั้นพื้นฐานด้านการมีจิตอาสา เสียสละ เห็นอกเห็นใจผู้อื่น วงเงินทั้งหมดของสัญญา 1,200,000.00 บาท ซึ่งในวันที่ 29/03/2560 เงินโอนเข้าบัญชีเป็นรายการงวดที่ 1 เป็นเงิน 360,000.00 บาท แต่หักค่าประกันผลงานไว้ 5% จากเงินที่ได้รับในแต่ละงวด</t>
  </si>
  <si>
    <t>PR2-2560:3/45</t>
  </si>
  <si>
    <t>AP01110000060040013</t>
  </si>
  <si>
    <t>ผศ.ดร.สมพงศ์ โอทอง</t>
  </si>
  <si>
    <t>สัญญาเลขที่ b3/2560 สัญญารับทุนอุดหนุนการวิจัยและพัฒนาภาครัฐร่วมเอกชนในเชิงพาณิชย์ ประจำปีงบประมาณ พ.ศ.2560 ของสำนักงานคณะกรรมการอุดมศึกษา โดยผู้ให้ทุนสนับสนุนการทำวิจัย เรื่อง การพัฒนาผลิตภัณฑ์ชีวบำบัดภัณฑ์จากแบคทีเรียเพื่อทำความสะอาดพื้นที่ปนเบื้อนน้ำมันและไขมัน จากผู้ให้ทุนที่ 1 เครือข่ายบริหารการวิจัยภาคใต้ตอนล่าง-โครงการวิจัยรัฐร่วมเอกชนในเชิงพาณิชย์(สำนักวิจัยและพัฒนา มหาวิทยาลัยสงขลานครินทร์) วงเงิน 490,000.00 บาท และจากผู้ให้ทุนที่ 2 ห้างหุ้นส่วนจำกัด ไวท์บ๊อกซ์โซลูชั่นส์ 2011 สนับสนุนทุนวิจัย 210,000.00 บาท รวมวงเงินตามสัญญา 700,000.00 บาท</t>
  </si>
  <si>
    <t>PR2-2560:3/48</t>
  </si>
  <si>
    <t>AP01110000060040020</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</si>
  <si>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1หน่วยงาน (ตามเอกสาร S-1499/50)</t>
  </si>
  <si>
    <t>PR2-2560:4/8</t>
  </si>
  <si>
    <t>AP01110000060040028</t>
  </si>
  <si>
    <t>ผศ.ดร.อมลวรรณ วีระธรรมโม</t>
  </si>
  <si>
    <t>เงินสนับสนุนการวิจัยจากงบบริหารจัดการโครงการผลิตครูที่มีความสามารถเศษทางด้านวิทยาศาสตร์และคณิตศาสตร์ (นำส่งเพียงยอดค่าธรรมเนียมทุนวิจัยภายนอกร้อยละ 10 จากยอดรับ 100,000.00 บาท) โดยเอกสารอ้างอิงเกี่ยวกับรายการนี้เริ่มจากนำส่งเงินเข้าเงินรับฝาก-โครงการ สควค. คณะศึกษาศาสตร์ ด้วยยอด 100,000.00 บาท (จากการรับตามใบเสร็จ SL2-2560:1/28 ลว.18/10/2559) พร้อมเบิกจ่ายทั้งก้อนไปด้วยยอดเงิน 100,000.00 บาท (ตามเอกสาร AP01020000160100002) ภายหลังตรวจสอบพบว่าเป็นรายการทุนวิจัยภายนอกจึงเบิกเต็มจำนวนไม่ได้โดยขอให้นักวิจัยคืนเงิน 10% (โดยเอกสารอ้างอิง RV00300000560050120 เลขที่ใบเสร็จ SL2-2560:9/32) ทั้งนี้ได้ปรับปรุงตามบันทึกของสถาบันวิจัยให้ถูกต้องตามบัญชีโดยขอปรับจากบัญชีเงินรับฝาก-โครงการ สควค. คณะศึกษาศาสตร์ 10,000 บาท (ลดยอดบัญชีด้วย JV01100200360050103) และแบ่ง 50% ให้แก่บัญชีกองทุนวิจัยมหาวิทยาลัยทักษิณ 5,000 บาท(เอกสารปรับปรุง JV01100200360050104) กับบัญชีเงินรับฝาก-คณะศึกษาศาสตร์ด้วยยอด 5,000 บาท(เอกสารปรับปรุง JV01100200360050103)</t>
  </si>
  <si>
    <t>SL2-2560:1/28,JV01100200360050104</t>
  </si>
  <si>
    <t>SCB 691-235949-4 (สาขาสามแยกสำโรง)</t>
  </si>
  <si>
    <t>สัญญาจ้างจัดทำโรงการศึกษาวิจัย การจัดการเพื่อการพัฒนาชุมชนเมืองและที่อยู่อาศัยในเขตการค้าชายแดนไทย-มาเลเชีย ตามสัญญาเลขที่ พด.223/59 จากหน่วยงานการเคหะแห่งชาติ งวดที่ 3</t>
  </si>
  <si>
    <t>PR2-2560:4/26</t>
  </si>
  <si>
    <t>AP01110000060050025</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</si>
  <si>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ขององค์การบริหารส่วนตำบลควนรู (ตามเอกสารใบนำส่งเงิน เล่มที่ 0714 เลขที่ 1)</t>
  </si>
  <si>
    <t>PR2-2560:4/45</t>
  </si>
  <si>
    <t>AP01110000060060012</t>
  </si>
  <si>
    <t>ผศ.ดร.ศิริลักษณ์ ช่วยพนัง</t>
  </si>
  <si>
    <t>ทุนอุดหนุนดำเนินการวิจัยตามโครงการวิจัยพัฒนาและวิศวกรรมเรื่อง การกำจัดต้นกงในทะเลน้อยโดยการผลิตก๊าซชีวภาพด้วยระบบหมักแบบไร้อากาศ งวดที่ 2 งบประมาณทั้งโครงการ 250,000 บาท</t>
  </si>
  <si>
    <t>PR2-2560:5/3</t>
  </si>
  <si>
    <t>KTB 981-2-81043-9</t>
  </si>
  <si>
    <t>AP01110000060060028</t>
  </si>
  <si>
    <t>อ.ดร.นิรมล จันทรชาติ</t>
  </si>
  <si>
    <t>ทุนอุดหนุนดำเนินการวิจัยตามโครงการวิจัยพัฒนาและวิศวกรรมเรื่อง การคำนวณและการดูดซับโลหะหนักในน้ำ โดยใช้โครงสร้างคอนเดนส์แทนนินในวัสดุธรรมชาติเป็นตัวดูดซับ งวดที่ 2 งบประมาณทั้งโครงการ 250,000 บาท</t>
  </si>
  <si>
    <t>PR2-2560:5/7</t>
  </si>
  <si>
    <t>AP01110000060070001</t>
  </si>
  <si>
    <t>สัญญาจ้างที่ปรึกษาเลขที่ 43/2558 จากเทศบาลนครสงขลา ว่าจ้างเป็นที่ปรึกษาโครงการวิจัยของเทศบาลนครสงขลา ตั้งแต่ปี 2559 เรื่อง การสร้างและพัฒนาหลักสูตรความเป็นเลิศด้านวิทยาศาสตร์ (แผนการเรียนวิทยาศาสตร์ตั้งแต่ระดับอนุบาลศึกษาไปจนถึงระดับมัธยมศึกษาตอนปลาย เพื่อบ่มเพาะผู้เรียนให้มีความเป็นเลิศด้านวิทยาศาสตร์) (งบประมาณรวม 7,000,000.00 บาท) งวดที่ 3</t>
  </si>
  <si>
    <t>PR2-2560:5/27</t>
  </si>
  <si>
    <t>AP01110000060070033</t>
  </si>
  <si>
    <t>รศ.ดร.นิรันดร์ จุลทรัพย์</t>
  </si>
  <si>
    <t>สัญญาจ้างผู้เชียวชาญรายบุคคลหรือจ้างบริษัทที่ปรึกษาของสำนักงานเลขาธิการสภาการศึกษา สัญญาที่26/2559 โดยผู้ว่าจ้างมีความประสงค์จะจ้างที่ปรึกษาเพื่อปฏิบัติงานศึกษาแนวโน้มความต้องการกำลังคนของตลาดแรงงานและการจ้างงานในอนาคตกับการพัฒนาคุณภาพการศึกษาในจังหวัดชายแดนภาคใต้ เงินงบประมาณโดยรวม 200,000 บาท โดยงวดที่ 2 แบ่งจ่าย 30% จากรายรับทั้งหมดเป็นเงิน 60,000 บาทแต่หักค่าประกันผลงานไว้ 5% จากยอดเงินงวด</t>
  </si>
  <si>
    <t>PR2-2560:5/28</t>
  </si>
  <si>
    <t>สัญญาจ้างเลขที่ 19/2560 จากสำนักงานเลขาธิการสภาการศึกษา มีความประสงค์จะจ้างที่ปรึกษาเพื่อปฏิบัติงานตามโครงการวิจัยและพัฒนารูปแบบ กลไกลการเสริมสร้างวินัยในสถานศึกษาระดับการศึกษาขั้นพื้นฐานด้านการมีจิตอาสา เสียสละ เห็นอกเห็นใจผู้อื่น วงเงินทั้งหมดของสัญญา 1,200,000.00 บาท ซึ่งในวันที่ 29/03/2560 เงินโอนเข้าบัญชีเป็นรายการงวดที่ 2 เป็นเงิน 600,000.00 บาท แต่หักค่าประกันผลงานไว้ 5% จากเงินที่ได้รับในแต่ละงวด</t>
  </si>
  <si>
    <t>PR2-2560:5/34</t>
  </si>
  <si>
    <t>AP01110000060080017</t>
  </si>
  <si>
    <t>ทุนอุดหนุนดำเนินการวิจัยแผนงานวิจัยเรื่อง สำรวจระดับความพึงพอใจของผู้ใช้บริการรถไฟปี 2559 จากฝ่ายการเดินรถ การรถไฟแห่งประเทศไทย ในวงเงินราคากลาง 2,030,000.00 บาท งวดที่ 3</t>
  </si>
  <si>
    <t>PR2-2560:5/43</t>
  </si>
  <si>
    <t>AP01110000060080032</t>
  </si>
  <si>
    <t>สัญญาจ้างจัดทำโรงการศึกษาวิจัย การจัดการเพื่อการพัฒนาชุมชนเมืองและที่อยู่อาศัยในเขตการค้าชายแดนไทย-มาเลเชีย ตามสัญญาเลขที่ พด.223/59 จากหน่วยงานการเคหะแห่งชาติ งวดที่ 4</t>
  </si>
  <si>
    <t>PR2-2560:6/30</t>
  </si>
  <si>
    <t>AP01110000060090058</t>
  </si>
  <si>
    <t>ทุนอุดหนุนการวิจัยส่งเสริมและสนับสนุนการวิจัยที่มุ่งเป้าด้านพลาสติกชีวภาพ ประจำปีงบประมาณ 2559 จากสำนักงานพัฒนาเศรษฐกิจจากฐานชีวภาพ(องค์การมหาชน) ตามสัญญาเลขที่ สพภ.-วช.31/2559 งวดที่ 3/1</t>
  </si>
  <si>
    <t>PR2-2560:6/28</t>
  </si>
  <si>
    <t>AP01110000060090059</t>
  </si>
  <si>
    <t>PR2-2560:6/31</t>
  </si>
  <si>
    <t>- เงินรับจาก หจก.ไวท์บ็อกซ์โซลูชั่น2011 ค่าครุภัณฑ์ 2 รายการ</t>
  </si>
  <si>
    <t>1. ถังปฏิกรณ์เพาะเลี้ยงจุลินทรีย์ขนาด 500 ลิตร มูลค่า 130,000 บ.</t>
  </si>
  <si>
    <t>2. เครื่องเก็บภายใต้สูญญากาศ มูลค่า 80,000 บ.</t>
  </si>
  <si>
    <t>สัญญาจ้างผู้เชียวชาญรายบุคคลหรือจ้างบริษัทที่ปรึกษาของสำนักงานเลขาธิการสภาการศึกษา สัญญาที่26/2559 โดยผู้ว่าจ้างมีความประสงค์จะจ้างที่ปรึกษาเพื่อปฏิบัติงานศึกษาแนวโน้มความต้องการกำลังคนของตลาดแรงงานและการจ้างงานในอนาคตกับการพัฒนาคุณภาพการศึกษาในจังหวัดชายแดนภาคใต้ เงินงบประมาณโดยรวม 200,000 บาท โดยงวดที่ 3 แบ่งจ่าย 40% จากรายรับทั้งหมดเป็นเงิน 80,000 บาทแต่หักค่าประกันผลงานไว้ 5% จากยอดเงินงวด</t>
  </si>
  <si>
    <t>PR2-2560:6/32</t>
  </si>
  <si>
    <t>AP01110000060090062</t>
  </si>
  <si>
    <t>สัญญาจ้างผู้เชียวชาญรายบุคคลหรือจ้างบริษัทที่ปรึกษาของสำนักงานเลขาธิการสภาการศึกษา สัญญาที่26/2559 โดยผู้ว่าจ้างมีความประสงค์จะจ้างที่ปรึกษาเพื่อปฏิบัติงานศึกษาแนวโน้มความต้องการกำลังคนของตลาดแรงงานและการจ้างงานในอนาคตกับการพัฒนาคุณภาพการศึกษาในจังหวัดชายแดนภาคใต้ เงินงบประมาณโดยรวม 6,000 บาท ค่าประกันผลงานงวดที่ 1 = 3,000 บ. งวดที่ 2 = 3,000 บ. งวดที่ 3 = 4,000 บ.</t>
  </si>
  <si>
    <t>สัญญาจ้างที่ปรึกษาเลขที่ 43/2558 จากเทศบาลนครสงขลา ว่าจ้างเป็นที่ปรึกษาโครงการวิจัยของเทศบาลนครสงขลา ตั้งแต่ปี 2559 เรื่อง การสร้างและพัฒนาหลักสูตรความเป็นเลิศด้านวิทยาศาสตร์ (แผนการเรียนวิทยาศาสตร์ตั้งแต่ระดับอนุบาลศึกษาไปจนถึงระดับมัธยมศึกษาตอนปลาย เพื่อบ่มเพาะผู้เรียนให้มีความเป็นเลิศด้านวิทยาศาสตร์) (งบประมาณรวม 7,000,000.00 บาท) งวดที่ 4</t>
  </si>
  <si>
    <t>PR2-2560:6/36</t>
  </si>
  <si>
    <t>AP011100000600900066</t>
  </si>
  <si>
    <t>ทุนอุดหนุนดำเนินการวิจัยแผนงานวิจัยเรื่อง สำรวจความพึงพอใจของประชาชนที่มีผลต่อการดำเนินงานขององค์กรปกครองส่วนท้องถิ่น ประจำปีงบประมาณ พ.ศ.2556-2560 จำนวน 6 หน่วยงาน (ตามเอกสาร 0714/2-6, 0714/8)</t>
  </si>
  <si>
    <t>PL2-2560:1/17</t>
  </si>
  <si>
    <t>AP01110000061100007</t>
  </si>
  <si>
    <t>มหาวิทยาลัยทักษิณ วิทยาเขตพัทลุง</t>
  </si>
  <si>
    <t>รายละเอียดเงินรับรายได้ประเภททุนสนับสนุนเพื่อการวิจัย</t>
  </si>
  <si>
    <t>สำหรับปีงบประมาณ 2561  ระยะเวลาดำเนินการ 1  ตุลาคม 2560  สิ้นสุด 30 กันยายน 2561</t>
  </si>
  <si>
    <t>ลำดับ
ที่</t>
  </si>
  <si>
    <t>ข้อมูลการรับเงิน</t>
  </si>
  <si>
    <t>ค่าธรรมเนียมการวิจัย ตามระเบียบฯว่าด้วย การบริหารจัดการทุนอุดหนุน
การวิจัยจากแหล่งทุนภายนอก พ.ศ. 2557</t>
  </si>
  <si>
    <t>จัดสรรเป็น
ยอดเงินเบิกจ่าย
เพื่อการวิจัย</t>
  </si>
  <si>
    <t>วันที่</t>
  </si>
  <si>
    <t>เลขที่ใบสำคัญ</t>
  </si>
  <si>
    <t>ชื่อ-สกุล (นักวิจัย)</t>
  </si>
  <si>
    <t>หน่วยงานที่สังกัด</t>
  </si>
  <si>
    <t>รับจากหน่วยงาน</t>
  </si>
  <si>
    <t>คำอธิบายรายการ</t>
  </si>
  <si>
    <t>จำนวนเงินรับ
(100%)</t>
  </si>
  <si>
    <t>กรณีแหล่งทุนให้หักค่าธรรมเนียม
ตามระเบียบมหาวิทยาลัย
(10%จากยอดรับทั้งหมด)</t>
  </si>
  <si>
    <t>กรณีแหล่งทุนมีเงื่อนไขพิเศษอื่น ๆ
(อาทิเช่น ยกเว้นการหักค่าธรรมเนียม/
ระบุจำนวนเงินที่บำรุงมหาวิทยาลัย)</t>
  </si>
  <si>
    <t xml:space="preserve">จัดสรรให้แก่
กองทุนวิจัย
ม. ทักษิณ
</t>
  </si>
  <si>
    <t xml:space="preserve">จัดสรรให้แก่สำนักงาน/คณะ/
สาขาของนักวิจัย
</t>
  </si>
  <si>
    <r>
      <rPr>
        <b/>
        <u/>
        <sz val="13"/>
        <color theme="1"/>
        <rFont val="TH SarabunPSK"/>
        <family val="2"/>
      </rPr>
      <t>ยกเว้น</t>
    </r>
    <r>
      <rPr>
        <b/>
        <sz val="13"/>
        <color theme="1"/>
        <rFont val="TH SarabunPSK"/>
        <family val="2"/>
      </rPr>
      <t xml:space="preserve">
ค่าธรรมเนียม
การวิจัย</t>
    </r>
  </si>
  <si>
    <t>สำนักงานมหาวิทยาลัย - วิทยาเขตสงขลา</t>
  </si>
  <si>
    <t>12/10/2560</t>
  </si>
  <si>
    <t>PR2-2561:1/9</t>
  </si>
  <si>
    <t>RV02050200361100151
RV02050200361100148</t>
  </si>
  <si>
    <t>องค์กรปกครองส่วนท้องถิ่น
จำนวน 20 หน่วยงาน</t>
  </si>
  <si>
    <t xml:space="preserve">ทุนอุดหนุนดำเนินการวิจัยแผนงานวิจัยเรื่อง
สำรวจความพึงพอใจของประชาชนที่มีผล
ต่อการดำเนินงานขององค์กรปกครอง
ส่วนท้องถิ่น ประจำปีงบประมาณ 
พ.ศ.2556-2560 </t>
  </si>
  <si>
    <t>16/10/2560</t>
  </si>
  <si>
    <t>PR2-2561:1/10</t>
  </si>
  <si>
    <t>RV02050200361100152
RV02050200361100153</t>
  </si>
  <si>
    <t>องค์กรปกครองส่วนท้องถิ่น
จำนวน 12 หน่วยงาน</t>
  </si>
  <si>
    <t>24/10/2560</t>
  </si>
  <si>
    <t>PR2-2560:1/18</t>
  </si>
  <si>
    <t>RV02050200361100204
RV02050200361100205</t>
  </si>
  <si>
    <t>อ.ดร.จิดาภา สุวรรณฤกษ์</t>
  </si>
  <si>
    <t>วิทยาลัยนานาชาติ</t>
  </si>
  <si>
    <t>วัดพุทธาราม กรุงลอนดอน สหราชอาณาจักร</t>
  </si>
  <si>
    <r>
      <t xml:space="preserve">ตามหนังสือส่วนงาน วิทยาลัยนานาชาติ 
ที่ ศธ 64.114/0590 เรื่อง ขอนำส่งเงิน
ค่าธรรมเนียมการวิจัย จากการดำเนินการ
วิจัยเรื่อง Model of continuing
Education and Learning Resources 
Management for Buddha ram 
Temple in Development of Human
Resources and Sustainability of Thai
Arts, Culture and Local Wisdom
among Thai Buddhists in the Unites
kingdom รูปแบบการจัดการศึกษาต่อเนื่อง
และแหล่งเรียนรู้ในวัดพุทธารามเพื่อส่งเสริม
การพัฒนาทรัพยากรมนุษย์ ด้านทำนุบำรุง
ศิลปวัฒนธรรมไทย ภูมิปัญญาท้องถิ่นในกับ
พุทธศาสนิกชนไทยในสหราชอาณาจักร 
</t>
    </r>
    <r>
      <rPr>
        <b/>
        <sz val="13"/>
        <color theme="1"/>
        <rFont val="TH SarabunPSK"/>
        <family val="2"/>
      </rPr>
      <t>(งบประมาณสนับสนุน 300,000 บาท)</t>
    </r>
  </si>
  <si>
    <t>30/10/2560</t>
  </si>
  <si>
    <t>PL2-2561:1/1</t>
  </si>
  <si>
    <t>RV02050200361100227
RV02050200361100228</t>
  </si>
  <si>
    <t>องค์กรปกครองส่วนท้องถิ่น
จำนวน 4 หน่วยงาน</t>
  </si>
  <si>
    <t>06/11/2560</t>
  </si>
  <si>
    <t>PL2-2561:1/2</t>
  </si>
  <si>
    <t>RV02050200361110070
RV02050200361110071</t>
  </si>
  <si>
    <t>PL2-2561:1/5</t>
  </si>
  <si>
    <t>RV02050200361110216
RV02050200361110217</t>
  </si>
  <si>
    <t>องค์กรปกครองส่วนท้องถิ่น
จำนวน 15 หน่วยงาน</t>
  </si>
  <si>
    <t>24/11/2560</t>
  </si>
  <si>
    <t>PL2-2561:1/4</t>
  </si>
  <si>
    <t>RV02050200361110218
RV02050200361110219</t>
  </si>
  <si>
    <t>องค์กรปกครองส่วนท้องถิ่น
จำนวน 24 หน่วยงาน</t>
  </si>
  <si>
    <t>PL2-2561:1/3</t>
  </si>
  <si>
    <t>RV02050200361110220
RV02050200361110221</t>
  </si>
  <si>
    <t>อาจารย์ ดร.พินิจ ดวงจินดา</t>
  </si>
  <si>
    <t>องค์กรปกครองส่วนท้องถิ่น
จำนวน 2 หน่วยงาน</t>
  </si>
  <si>
    <t xml:space="preserve">ทุนอุดหนุนดำเนินการวิจัยแผนงานวิจัย
เรื่อง สำรวจความพึงพอใจของผู้รับบริการ
สำหรับการประเมินประสิทธิภาพและ
ประสิทธิผลการปฏิบัติราชการขององค์กร
ปกครองส่วนท้องถิ่น ประจำปีงบประมาณ 
พ.ศ.2560 </t>
  </si>
  <si>
    <t>PR2-2561:1/30</t>
  </si>
  <si>
    <t>RV02050200361110222</t>
  </si>
  <si>
    <t>อาจารย์ ชิโนรส รุ่งสกุล</t>
  </si>
  <si>
    <t>คณะศิลปกรรมศาสตร์</t>
  </si>
  <si>
    <t>มหาวิทยาลัยสงขลานครินทร์</t>
  </si>
  <si>
    <r>
      <t xml:space="preserve">สัญญาเลขที่ CE02/2560 สัญญารับทุน
เพื่อดำเนินโครงการ Innovation 
Hub-Creative Economy เพื่อสร้าง
เศรษฐกิจฐานนวัตกรรมของประเทศตาม
นโยบายประเทศไทย 4.0 โดยสนับสนุน
การวิจัยเรื่อง พัฒนาใบไม้สีทองให้สามารถ
นำไปผลิตเป็นกระเป๋าได้ งวดที่ 1 
</t>
    </r>
    <r>
      <rPr>
        <b/>
        <sz val="13"/>
        <color theme="1"/>
        <rFont val="TH SarabunPSK"/>
        <family val="2"/>
      </rPr>
      <t>(ร้อยละ 70 ของเงินงบประมาณทั้งสิ้น
500,000.00 บาท)</t>
    </r>
  </si>
  <si>
    <t>R</t>
  </si>
  <si>
    <t>30/11/2560</t>
  </si>
  <si>
    <t>PL2-2561:1/6</t>
  </si>
  <si>
    <t>RV02050200361110268
RV02050200361110269</t>
  </si>
  <si>
    <t>องค์กรปกครองส่วนท้องถิ่น
จำนวน 10 หน่วยงาน</t>
  </si>
  <si>
    <t>PL2-2561:1/7</t>
  </si>
  <si>
    <t>RV02050200361110270
RV02050200361110271</t>
  </si>
  <si>
    <t>องค์กรปกครองส่วนท้องถิ่น
จำนวน 1 หน่วยงาน</t>
  </si>
  <si>
    <t>14/12/2560</t>
  </si>
  <si>
    <t>PL2-2561:1/10</t>
  </si>
  <si>
    <t>RV02050200361120099
RV02050200361120100</t>
  </si>
  <si>
    <t>องค์กรปกครองส่วนท้องถิ่น
จำนวน 17 หน่วยงาน</t>
  </si>
  <si>
    <t>22/12/2560</t>
  </si>
  <si>
    <t>PL2-2561:1/12</t>
  </si>
  <si>
    <t>RV02050200361120187
RV02050200361120188</t>
  </si>
  <si>
    <t>องค์กรปกครองส่วนท้องถิ่น
จำนวน 5 หน่วยงาน</t>
  </si>
  <si>
    <t>29/12/2560</t>
  </si>
  <si>
    <t>PR2-2561:2/4</t>
  </si>
  <si>
    <t>RV02050200361120272</t>
  </si>
  <si>
    <t xml:space="preserve">การเคหะแห่งชาติ </t>
  </si>
  <si>
    <t>สัญญาจ้างจัดทำโรงการศึกษาวิจัย 
การจัดการเพื่อการพัฒนาชุมชนเมืองและ
ที่อยู่อาศัยในเขตการค้าชายแดนไทย-
มาเลเชีย ตามสัญญาเลขที่ พด.223/59 
จากหน่วยงานการเคหะแห่งชาติ 
งบประมาณทั้งสิ้น 2,320,000.00 บาท 
ซึ่งดำเนินการเสร็จสิ้นแล้วทางผู้จ้างได้จ่าย
คืนเงินค่าหลักประกันผลงาน</t>
  </si>
  <si>
    <t>03/01/2561</t>
  </si>
  <si>
    <t>PR2-2561:2/10</t>
  </si>
  <si>
    <t>RV02050200361010008
RV02050200361010009</t>
  </si>
  <si>
    <t>ผศ.ดร.มณฑนา พิพัฒน์เพ็ญ</t>
  </si>
  <si>
    <t>สำนักงานปลัดกระทรวงยุติธรรม</t>
  </si>
  <si>
    <t>สัญญาจ้างที่ปรึกษาเลขที่ 134/2560 ของ
สำนักงานปลัดกระทรวงยุติธรรม ว่าจ้างให้
เป็นที่ปรึกษาโครงการปฏิบัติการการจัดการ
ศึกษาเพื่อสร้างทักษะชีวิตสำหรับเด็กและ
เยาวชนในสถานพินิจและคุ้มครองเด็กและ
เยาวชน ศูนย์ฝึกอบรมเด็กและเยาวชนใน
จังหวัดชายแดนภาคใต้ งบประมาณทั้งสิ้น 
1,000,000 บาท แบ่งจ่ายทั้งหมด 5 งวด 
โดยงวดที่ 1 ร้อยละ 20 คิดเป็นเงิน 
200,000 บาท โดยหักค่าประกันผลงาน
ร้อยละ 5 ของเงินงวดเหลือเงินโอนเข้า
บัญชี 190,000 บาท</t>
  </si>
  <si>
    <t>08/01/2561</t>
  </si>
  <si>
    <t>PR2-2561:2/15</t>
  </si>
  <si>
    <t>RV02050200361010064</t>
  </si>
  <si>
    <t>ฝ่ายการเดินรถ 
การรถไฟแห่งประเทศไทย</t>
  </si>
  <si>
    <r>
      <t xml:space="preserve">ทุนอุดหนุนดำเนินการวิจัยแผนงานวิจัย
เรื่อง สำรวจระดับความพึงพอใจของผู้ใช้
บริการรถไฟปี 2559 จากฝ่ายการเดินรถ 
การรถไฟแห่งประเทศไทย ในวงเงินราคา
กลาง 2,030,000.00 บาท 
</t>
    </r>
    <r>
      <rPr>
        <b/>
        <sz val="13"/>
        <color theme="1"/>
        <rFont val="TH SarabunPSK"/>
        <family val="2"/>
      </rPr>
      <t>(เงินประกันผลงาน จากงานแล้วเสร็จ)</t>
    </r>
  </si>
  <si>
    <t>PL2-2561:1/13</t>
  </si>
  <si>
    <t>RV02050200361010065
RV02050200361010066</t>
  </si>
  <si>
    <t>องค์กรปกครองส่วนท้องถิ่น
จำนวน 7 หน่วยงาน</t>
  </si>
  <si>
    <t>16/01/2561</t>
  </si>
  <si>
    <t>PL2-2561:1/16</t>
  </si>
  <si>
    <t>RV02050200361010168
RV02050200361010169</t>
  </si>
  <si>
    <t>22/01/2561</t>
  </si>
  <si>
    <t>PL2-2561:1/17</t>
  </si>
  <si>
    <t>RV02050200361010258
RV02050200361010259</t>
  </si>
  <si>
    <t>PR2-2560:2/21</t>
  </si>
  <si>
    <t>RV02050200361010260
RV02050200361010261</t>
  </si>
  <si>
    <t>สำนักงานเลขาธิการสภาการศึกษา</t>
  </si>
  <si>
    <r>
      <t xml:space="preserve">สัญญาจ้างเลขที่ 19/2560 จากสำนักงาน
เลขาธิการสภาการศึกษา มีความประสงค์
จะจ้างที่ปรึกษาเพื่อปฏิบัติงานตาม
โครงการวิจัยและพัฒนารูปแบบ กลไกล
การเสริมสร้างวินัยในสถานศึกษาระดับ
การศึกษาขั้นพื้นฐานด้านการมีจิตอาสา
เสียสละเห็นอกเห็นใจผู้อื่น วงเงินทั้งหมด
ของสัญญา 1,200,000.00 บ. 
</t>
    </r>
    <r>
      <rPr>
        <b/>
        <sz val="13"/>
        <color theme="1"/>
        <rFont val="TH SarabunPSK"/>
        <family val="2"/>
      </rPr>
      <t>(รายการงวดที่ 3 เป็นเงิน 228,000.- บ.
พร้อมเงินค่าประกันผลงานไว้ 5% จาก
เงินที่ได้รับในงวดที่ 3 เป็นเงิน 12,000บ.)</t>
    </r>
  </si>
  <si>
    <t>02/02/2561</t>
  </si>
  <si>
    <t>PR1-2561:32/23</t>
  </si>
  <si>
    <t>RV02050200361020012
RV02050200361020013</t>
  </si>
  <si>
    <t>อาจารย์ปพนธียร์ ธีระพันธ์</t>
  </si>
  <si>
    <t>คณะนิติศาสตร์</t>
  </si>
  <si>
    <t>สำนักงานคณะกรรมการ
วิจัยแห่งชาติ</t>
  </si>
  <si>
    <r>
      <t xml:space="preserve">ค่าธรรมเนียมการวิจัย 10% จากยอดรวม
ทุนอุดหนุนการวิจัยตามงบประมาณทั้งสิ้น 
330,000 บาท โครงการวิจัยเรื่องการพัฒนา
กฎหมายเกี่ยวกับทะเบียนประวัติอาชญากร
ของเด็กและเยาวชน 
</t>
    </r>
    <r>
      <rPr>
        <b/>
        <sz val="13"/>
        <color theme="1"/>
        <rFont val="TH SarabunPSK"/>
        <family val="2"/>
      </rPr>
      <t>(ตามสัญญาที่ วช.(0)(กบง)/150/2560)</t>
    </r>
  </si>
  <si>
    <t>05/02/2561</t>
  </si>
  <si>
    <t>PL2-2561:1/18</t>
  </si>
  <si>
    <t>RV02050200361020033
RV02050200361020034</t>
  </si>
  <si>
    <t>08/02/2561</t>
  </si>
  <si>
    <t>PR2-2560:2/39
PR2-2560:2/40</t>
  </si>
  <si>
    <t>RV02050200361020097
RV02050200361020098</t>
  </si>
  <si>
    <t>สำนักงานเลขาธิการสภา
การศึกษา</t>
  </si>
  <si>
    <t xml:space="preserve">สัญญาจ้างเลขที่ 19/2560 จ้างที่ปรึกษา
เพื่อปฏิบัติงานตามโครงการวิจัยและพัฒนา
รูปแบบ กลไกลการเสริมสร้างวินัยใน
สถานศึกษาระดับการศึกษาขั้นพื้นฐาน
ด้านการมีจิตอาสา เสียสละ เห็นอกเห็นใจ
ผู้อื่น งวดที่ 1 </t>
  </si>
  <si>
    <t>20/02/2561</t>
  </si>
  <si>
    <t>PR2-2561:2/47</t>
  </si>
  <si>
    <t>RV02050200361020206
RV02050200361020207</t>
  </si>
  <si>
    <t>อาจารย์ ดร.นวลพรรณ วรรณสุธี</t>
  </si>
  <si>
    <r>
      <t xml:space="preserve">สัญญาจ้างผู้เชียวชาญรายบุคคลหรือจ้าง
บริษัทที่ปรึกษาเลขที่ 51/2558 ว่าจ้างที่
ปรึกษาโครงการนำร่อง "จังหวัดประชาคม
ปฏิรูปการเรียนรู้" (Empowering Reform 
Provinces) ของจังหวัดสตูลในงบประมาณ 
690,000 บาท
</t>
    </r>
    <r>
      <rPr>
        <b/>
        <sz val="13"/>
        <color theme="1"/>
        <rFont val="TH SarabunPSK"/>
        <family val="2"/>
      </rPr>
      <t>(เงินคืนค่าประกันผลงาน งวดที่ 1)</t>
    </r>
  </si>
  <si>
    <t>PR2-2561:2/48</t>
  </si>
  <si>
    <t>RV02050200361020208
RV02050200361020209</t>
  </si>
  <si>
    <t>สำนักงานปลัดกระทรวง
ยุติธรรม</t>
  </si>
  <si>
    <t>สัญญาจ้างที่ปรึกษาเลขที่ 134/2560 ว่าจ้าง
ให้เป็นที่ปรึกษาโครงการปฏิบัติการการจัด
การศึกษาเพื่อสร้างทักษะชีวิตสำหรับเด็ก
และเยาวชนในสถานพินิจและคุ้มครองเด็ก
และเยาวชนและศูนย์ฝึกและอบรมเด็กและ
เยาวชนในจังหวัดชายแดนภาคใต้ งวดที่ 2</t>
  </si>
  <si>
    <t>16/03/2561</t>
  </si>
  <si>
    <t>PR2-2560:3/20</t>
  </si>
  <si>
    <t>RV02050200361030121
RV02050200361030122</t>
  </si>
  <si>
    <t>สถาบันปฏิบัติการชุมชน
เพื่อการศึกษาแบบ
บูรณาการ</t>
  </si>
  <si>
    <r>
      <t xml:space="preserve">เงินค่าธรรมเนียมร้อยละ 10 ตามระเบียบ
คณะกรรมการการเงินและทรัพย์สิน ว่าด้วย
การบริหารจัดการทุนอุดหนุนการวิจัย
จากแหล่งทุนภายนอก พ.ศ.2557 โดยคำนวณจากยอดเงินสนับสนุนการวิจัย
ประจำปี 2559 เรื่อง ผลิตภัณฑ์มูลค่าเพิ่ม
จากสวนผลไม้โดยใช้กรีนเทคโนโลยี กรณีศึกษาสวนผลไม้ชุมชนตำบลหนองธง 
อ.ป่าบอน จังหวัดพัทลุง 
</t>
    </r>
    <r>
      <rPr>
        <b/>
        <sz val="13"/>
        <color theme="1"/>
        <rFont val="TH SarabunPSK"/>
        <family val="2"/>
      </rPr>
      <t>(เงินงวด 380,000 บาท X 10%)</t>
    </r>
  </si>
  <si>
    <t>20/03/2561</t>
  </si>
  <si>
    <t>PR2-2561:3/22</t>
  </si>
  <si>
    <t>RV02050200361030157</t>
  </si>
  <si>
    <t>ผู้ช่วยศาสตราจารย์ ดร.อุษา อ้นทอง</t>
  </si>
  <si>
    <t xml:space="preserve">สำนักงานพัฒนาเศรษฐกิจ
จากฐานชีวภาพ
(องค์การมหาชน) </t>
  </si>
  <si>
    <r>
      <t xml:space="preserve">ทุนอุดหนุนดำเนินการวิจัย เรื่อง โครงการการกำจัดก๊าซไฮโดรเจนซัลไฟด์ในก๊าซชีวภาพด้วยระบบ Denitrifying Sulfide Remaoval  งวดที่ 1
</t>
    </r>
    <r>
      <rPr>
        <b/>
        <sz val="13"/>
        <color theme="1"/>
        <rFont val="TH SarabunPSK"/>
        <family val="2"/>
      </rPr>
      <t>(ตามสัญญาให้ทุนจะหักค่าธรรมเนียม
วิจัยในงวดสุดท้ายด้วยยอด 41,900 บ.)</t>
    </r>
  </si>
  <si>
    <t>27/03/2561</t>
  </si>
  <si>
    <t>PL2-2561:1/19</t>
  </si>
  <si>
    <t>RV02050200361030213</t>
  </si>
  <si>
    <t>องค์การบริหารส่วนตำบล
ทุ่งหวัง</t>
  </si>
  <si>
    <r>
      <t xml:space="preserve">ทุนอุดหนุนดำเนินการวิจัยแผนงานวิจัยเรื่อง
สำรวจความพึงพอใจของประชาชนที่มีผล
ต่อการดำเนินงานขององค์กรปกครอง
ส่วนท้องถิ่น ประจำปีงบประมาณ 
พ.ศ.2556-2560 
</t>
    </r>
    <r>
      <rPr>
        <b/>
        <sz val="13"/>
        <color theme="1"/>
        <rFont val="TH SarabunPSK"/>
        <family val="2"/>
      </rPr>
      <t>(เงินค่าประกันผลงานไม่หักค่าธรรมเนียม)</t>
    </r>
  </si>
  <si>
    <t>03/04/2561</t>
  </si>
  <si>
    <t>PR2-2560:3/42</t>
  </si>
  <si>
    <t>RV02050200361040015
RV02050200361040016</t>
  </si>
  <si>
    <t>สำนักงานเครือข่ายอุดมศึกษาภาคใต้ตอนล่าง</t>
  </si>
  <si>
    <t>เงินสนับสนุนการวิจัยเรื่อง การจัดกระบวน
การเรียนรู้เพื่อเสริมสร้างนักเรียนให้มีทักษะศตวรรษที่ 21 และส่งเสริมคุณธรรมจริยธรรม
ผ่านกิจกรรมลดเวลาเรียนเพิ่มเวลารู้ โดยใช้
กระบวนการชุมชนวิชาชีพครู (Professional
Learning Community) และการสอนงาน
เป็นพี่เลี้ยง (Coaching and Mentoring) 
ในสถานศึกษาระดับประถมศึกษาจังหวัดสงขลา-ภายใต้โครงการพัฒนาคุณภาพ
การศึกษาและการพัฒนาท้องถิ่นโดยมี
สถาบันอุดมศึกษาเป็นพี่เลี้ยงประจำปี2561 
งบประมาณทั้งสิ้น 960,000.00 บาท</t>
  </si>
  <si>
    <t>19/04/2561</t>
  </si>
  <si>
    <t>PR2-2561:3/50</t>
  </si>
  <si>
    <t>RV02050200361040160
RV02050200361040161</t>
  </si>
  <si>
    <t>อาจารย์ ดร.อรพินท์ บุญสิน</t>
  </si>
  <si>
    <t>กลุ่มธุรกิจการเดินรถ 
การรถไฟแห่งประเทศไทย</t>
  </si>
  <si>
    <r>
      <t xml:space="preserve">ทุนอุดหนุนดำเนินการวิจัยแผนงานวิจัย
เรื่อง สำรวจระดับความพึงพอใจของผู้ใช้
บริการรถไฟแห่งประเทศไทย และสำรวจปัจจัยที่ส่งผลต่อความเชื่อมั่นของประชาชน
ในการเลือกใช้บริการของการรถไฟแห่ง
ประเทศไทย ประจำปีงบประมาณ 2560 
วงเงินราคากลาง 4,145,948.- บ. </t>
    </r>
    <r>
      <rPr>
        <b/>
        <sz val="13"/>
        <color theme="1"/>
        <rFont val="TH SarabunPSK"/>
        <family val="2"/>
      </rPr>
      <t>(งวดที่ 1)</t>
    </r>
    <r>
      <rPr>
        <sz val="13"/>
        <color theme="1"/>
        <rFont val="TH SarabunPSK"/>
        <family val="2"/>
      </rPr>
      <t xml:space="preserve"> </t>
    </r>
  </si>
  <si>
    <t>11/05/2561</t>
  </si>
  <si>
    <t>PR2-2561:4/33</t>
  </si>
  <si>
    <t>RV02050200361050147
RV02050200361050148</t>
  </si>
  <si>
    <t>สัญญาจ้างที่ปรึกษาเลขที่ 134/2560 ของ
สำนักงานปลัดกระทรวงยุติธรรม ว่าจ้างให้
เป็นที่ปรึกษาโครงการปฏิบัติการการจัดการ
ศึกษาเพื่อสร้างทักษะชีวิตสำหรับเด็กและ
เยาวชนในสถานพินิจและคุ้มครองเด็กและ
เยาวชน ศูนย์ฝึกอบรมเด็กและเยาวชนใน
จังหวัดชายแดนภาคใต้ งบประมาณทั้งสิ้น 
1,000,000 บาท แบ่งจ่ายทั้งหมด 5 งวด 
โดยงวดที่ 3 ร้อยละ 20 คิดเป็นเงิน 
200,000 บาท โดยหักค่าประกันผลงาน
ร้อยละ 5 ของเงินงวดเหลือเงินโอนเข้า
บัญชี 190,000 บาท</t>
  </si>
  <si>
    <t>25/05/2561</t>
  </si>
  <si>
    <t>PR2-2561:4/39</t>
  </si>
  <si>
    <t>RV02050200361050268
RV02050200361050269</t>
  </si>
  <si>
    <t>13/06/2561</t>
  </si>
  <si>
    <t>PR2-2561:4/46</t>
  </si>
  <si>
    <t>RV02050200361060134
RV02050200361060135</t>
  </si>
  <si>
    <r>
      <t xml:space="preserve">ทุนอุดหนุนดำเนินการวิจัยแผนงานวิจัย
เรื่อง สำรวจระดับความพึงพอใจของผู้ใช้
บริการรถไฟแห่งประเทศไทย และสำรวจปัจจัยที่ส่งผลต่อความเชื่อมั่นของประชาชน
ในการเลือกใช้บริการของการรถไฟแห่ง
ประเทศไทย ประจำปีงบประมาณ 2560 
วงเงินราคากลาง 4,145,948.- บ. </t>
    </r>
    <r>
      <rPr>
        <b/>
        <sz val="13"/>
        <color theme="1"/>
        <rFont val="TH SarabunPSK"/>
        <family val="2"/>
      </rPr>
      <t>(งวดที่ 2)</t>
    </r>
    <r>
      <rPr>
        <sz val="13"/>
        <color theme="1"/>
        <rFont val="TH SarabunPSK"/>
        <family val="2"/>
      </rPr>
      <t xml:space="preserve"> </t>
    </r>
  </si>
  <si>
    <t>25/06/2561</t>
  </si>
  <si>
    <t>PL2-2561:1/22</t>
  </si>
  <si>
    <t>RV02050200361060287
RV02050200361060288</t>
  </si>
  <si>
    <t xml:space="preserve">ทุนอุดหนุนดำเนินการวิจัยแผนงานวิจัยเรื่อง สำรวจความพึงพอใจของประชาชนที่มีผล
ต่อการดำเนินงานขององค์กรปกครอง
ส่วนท้องถิ่น ประจำปีงบประมาณ 
พ.ศ.2561-2564 </t>
  </si>
  <si>
    <t>03/07/2561</t>
  </si>
  <si>
    <t>PR2-2561:5/10</t>
  </si>
  <si>
    <t>RV02050200361070028
RV02050200361070029</t>
  </si>
  <si>
    <t>สัญญาจ้างที่ปรึกษาเลขที่ 134/2560 ของ
สำนักงานปลัดกระทรวงยุติธรรม ว่าจ้างให้
เป็นที่ปรึกษาโครงการปฏิบัติการการจัดการ
ศึกษาเพื่อสร้างทักษะชีวิตสำหรับเด็กและ
เยาวชนในสถานพินิจและคุ้มครองเด็กและ
เยาวชน ศูนย์ฝึกอบรมเด็กและเยาวชนใน
จังหวัดชายแดนภาคใต้ งบประมาณทั้งสิ้น 
1,000,000 บาท แบ่งจ่ายทั้งหมด 5 งวด 
โดยงวดที่ 2 ร้อยละ 20 คิดเป็นเงิน 
200,000 บาท โดยหักค่าประกันผลงาน
ร้อยละ 5 ของเงินงวดเหลือเงินโอนเข้า
บัญชี 190,000 บาท</t>
  </si>
  <si>
    <t>03/08/2561</t>
  </si>
  <si>
    <t>PR2-2561:6/1</t>
  </si>
  <si>
    <t>RV02050200361080039
RV02050200361080040</t>
  </si>
  <si>
    <r>
      <t xml:space="preserve">ทุนอุดหนุนดำเนินการวิจัยแผนงานวิจัย
เรื่อง สำรวจระดับความพึงพอใจของผู้ใช้
บริการรถไฟแห่งประเทศไทย และสำรวจปัจจัยที่ส่งผลต่อความเชื่อมั่นของประชาชน
ในการเลือกใช้บริการของการรถไฟแห่ง
ประเทศไทย ประจำปีงบประมาณ 2560 
วงเงินราคากลาง 4,145,948.- บ. </t>
    </r>
    <r>
      <rPr>
        <b/>
        <sz val="13"/>
        <color theme="1"/>
        <rFont val="TH SarabunPSK"/>
        <family val="2"/>
      </rPr>
      <t>(งวดที่ 3)</t>
    </r>
    <r>
      <rPr>
        <sz val="13"/>
        <color theme="1"/>
        <rFont val="TH SarabunPSK"/>
        <family val="2"/>
      </rPr>
      <t xml:space="preserve"> </t>
    </r>
  </si>
  <si>
    <t>08/08/2561</t>
  </si>
  <si>
    <t>PR2-2561:6/4</t>
  </si>
  <si>
    <t>RV02050200361080107</t>
  </si>
  <si>
    <t>09/08/2561</t>
  </si>
  <si>
    <t>PL2-2561:15/44</t>
  </si>
  <si>
    <t>RV02050200361080116
RV02050200361080117</t>
  </si>
  <si>
    <t>PR2-2561:6/44</t>
  </si>
  <si>
    <t>RV02050200361090269
RV02050200361090270</t>
  </si>
  <si>
    <r>
      <t xml:space="preserve">ทุนอุดหนุนดำเนินการวิจัยแผนงานวิจัย
เรื่อง สำรวจระดับความพึงพอใจของผู้ใช้
บริการรถไฟแห่งประเทศไทย และสำรวจปัจจัยที่ส่งผลต่อความเชื่อมั่นของประชาชน
ในการเลือกใช้บริการของการรถไฟแห่ง
ประเทศไทย ประจำปีงบประมาณ 2560 
วงเงินราคากลาง 4,145,948.- บ. 
</t>
    </r>
    <r>
      <rPr>
        <b/>
        <sz val="13"/>
        <color theme="1"/>
        <rFont val="TH SarabunPSK"/>
        <family val="2"/>
      </rPr>
      <t>(เงินค่าประกันผลงาน)</t>
    </r>
    <r>
      <rPr>
        <sz val="13"/>
        <color theme="1"/>
        <rFont val="TH SarabunPSK"/>
        <family val="2"/>
      </rPr>
      <t xml:space="preserve"> </t>
    </r>
  </si>
  <si>
    <t>PL2-2561:16/9</t>
  </si>
  <si>
    <t>RV02050200361090327
RV02050200361090328</t>
  </si>
  <si>
    <t>องค์กรปกครองส่วนท้องถิ่น
จำนวน 3 หน่วยงาน</t>
  </si>
  <si>
    <t>PL2-2561:16/10</t>
  </si>
  <si>
    <t>RV02050200361090395
RV02050200361090396</t>
  </si>
  <si>
    <t>องค์กรปกครองส่วนท้องถิ่น
จำนวน 6 หน่วยงาน</t>
  </si>
  <si>
    <t>PL2-2561:16/12</t>
  </si>
  <si>
    <t>RV02050200361090450
RV02050200361090446</t>
  </si>
  <si>
    <t>สำนักงานมหาวิทยาลัย - วิทยาเขตพัทลุง</t>
  </si>
  <si>
    <t>17/10/2560</t>
  </si>
  <si>
    <t>PR2-2561:1/11</t>
  </si>
  <si>
    <t>RV02050200361100168
RV02050200361100169</t>
  </si>
  <si>
    <t>ผศ.ดร.สุภฎา คีรีรัฐนิคม</t>
  </si>
  <si>
    <t>DSM Singapore Industrial Pte.Ltd.</t>
  </si>
  <si>
    <t xml:space="preserve">ทุนอุดหนุนดำเนินการวิจัยเรื่อง Enzyme Solution for Hybrid Catfish : effects of different enzyme solutions on apparent feed digetibility in hybird catfish. (Ciarias macrocephalus X Clarias gariepinus) </t>
  </si>
  <si>
    <t>19/01/2561</t>
  </si>
  <si>
    <t>PL2-2561:2/19</t>
  </si>
  <si>
    <t>RV02050200361010235
RV02050200361010236</t>
  </si>
  <si>
    <t>BASF New Business 
GmbH</t>
  </si>
  <si>
    <r>
      <t xml:space="preserve">ทุนอุดหนุนดำเนินการวิจัยแผนงานวิจัย
เรื่อง Trial to Study Effect of Iron 
Glycinate and Zinc Glycinate on 
Tilapia Performance จาก BASF New 
Business GmbH  งบประมาณทั้งสิ้น 
320,000.00 บาท 
</t>
    </r>
    <r>
      <rPr>
        <b/>
        <sz val="13"/>
        <color theme="1"/>
        <rFont val="TH SarabunPSK"/>
        <family val="2"/>
      </rPr>
      <t>(งวดที่ 1 = 288,000.00 บาท)</t>
    </r>
  </si>
  <si>
    <t>PR2-2561:3/21</t>
  </si>
  <si>
    <t>RV02050200361030155
RV02050200361030156</t>
  </si>
  <si>
    <t>อาจารย์ ดร.พีรนาฎ คิดดี</t>
  </si>
  <si>
    <t>สำนักงานพัฒนา
วิทยาศาสตร์
และเทคโนโลยีแห่งชาติ</t>
  </si>
  <si>
    <r>
      <t xml:space="preserve">สัญญาเลขที่ FDA-CO-251-5673-TH 
ซึ่งเป็นสัญญาให้ทุนอุดหนุนโครงการวิจัย
พัฒนาและวิศวกรรมเรื่องการปรับปรุง
ค่าความร้อนของวัสดุผสมเพื่อเป็นเชื้อเพลิง
จากขยะกับชีวมวลจากปาล์มและชีวมวล
จากมะพร้าว งวดที่ 1
</t>
    </r>
    <r>
      <rPr>
        <b/>
        <sz val="13"/>
        <color theme="1"/>
        <rFont val="TH SarabunPSK"/>
        <family val="2"/>
      </rPr>
      <t>(ซึ่งตามสัญญาระบุเงินสนับสนุน
หน่วยงานเป็นจำนวนเงิน 30,000 บาท)</t>
    </r>
  </si>
  <si>
    <t>01/05/2561</t>
  </si>
  <si>
    <t>PR2-2561:4/17</t>
  </si>
  <si>
    <t>RV02050200361050004
RV02050200361050005</t>
  </si>
  <si>
    <t>อาจารย์ ดร.อรสา อนันต์</t>
  </si>
  <si>
    <t>สำนักงานพัฒนาวิทยาศาตร์และเทคโนโลยีแห่งชาติ</t>
  </si>
  <si>
    <t>สัญญาให้ทุนอุดหนุนโครงการวิจัย 
พัฒนาและวิศวกรรม สัญญาเลขที่ FDA-CO-2561-5829-TH เรื่องการพัฒนา
ตัวประมาณขนาดประชากรสำหรับข้อมูล
แบบ Capture-recapture ที่มีลักษณะ
เป็นวิวิธพันธ์ด้วยการแจกแจงแบบปัวซง
ผสม งบประมาณทั้งโครงการ 250,000 บ.(โดยแบ่งจ่ายงวดที่1 เป็นเงิน 169,490 บ. แบ่งเป็นงบบริหารโครงการ 30,000 บาท 
เป็นทุนวิจัย 139,490 บาท)</t>
  </si>
  <si>
    <t>PR2-2561:4/19</t>
  </si>
  <si>
    <t>RV02050200361050006
RV02050200361050007</t>
  </si>
  <si>
    <t>อาจารย์ ดร.สุนิสา คงประสิทธิ์</t>
  </si>
  <si>
    <t>สัญญาให้ทุนอุดหนุนโครงการวิจัย 
พัฒนาและวิศวกรรม สัญญาเลขที่ FDA-CO-2561-5831-TH เรื่องการพัฒนา
ชุดการเรียนรู้เรื่องการจัดการมูลฝอยใน
โรงเรียนด้วยกระบวนการสิ่งแวดล้อมศึกษา 
สำหรับนักเรียนชั้นประถมศึกษาปีที่ 5-6 
โรงเรียนในเขตเทศบาล ต.ลานข่อย 
งบประมาณทั้งโครงการ 250,000 บาท 
(โดยแบ่งจ่ายงวดที่1 เป็นเงิน 171,160 บ. แบ่งเป็นงบบริหารโครงการ 30,000 บาท 
เป็นทุนวิจัย 141,160 บาท)</t>
  </si>
  <si>
    <t>RV02050200361050008
RV02050200361050009</t>
  </si>
  <si>
    <t>อาจารย์ ดร.จักรพงศ์ ไชยบุรี</t>
  </si>
  <si>
    <t>สัญญาให้ทุนอุดหนุนโครงการวิจัย 
พัฒนาและวิศวกรรม สัญญาเลขที่ FDA-CO-2561-5830-TH เรื่องการพัฒนา
ตัวเร่งปฏิกิริยาเพื่อเซลเชื้อเพลิงเอทานอล
โดยไม่ใช้เยื่อเลือกผ่าน 
งบประมาณทั้งโครงการ 250,000 บาท 
(โดยแบ่งจ่ายงวดที่1 เป็นเงิน 190,000 บ. แบ่งเป็นงบบริหารโครงการ 30,000 บาท 
เป็นทุนวิจัย 160,000 บาท)</t>
  </si>
  <si>
    <t>02/07/2561</t>
  </si>
  <si>
    <t>PR2-2561:5/8</t>
  </si>
  <si>
    <t>RV02050200361070017
RV02050200361070018</t>
  </si>
  <si>
    <t>ทุนอุดหนุนดำเนินการวิจัยเรื่อง Enzyme Solution for Hybrid Catfish : effects of different enzyme solutions on apparent feed digetibility in hybird catfish. (Ciarias macrocephalus X Clarias gariepinus) งวดที่ 2</t>
  </si>
  <si>
    <t>PR2-2561:5/9</t>
  </si>
  <si>
    <t>RV02050200361070019
RV02050200361070020</t>
  </si>
  <si>
    <t>DSM Singapore Industrial 
Pte.Ltd.</t>
  </si>
  <si>
    <t>ทุนอุดหนุนดำเนินการวิจัยเรื่อง Effects 
of enzyme solution on apparent 
digestibility coefficient of feed ingredients in hybrid catfish. 
(Ciarias macrocephalus X Clarias 
gariepinus)  งวดที่ 1</t>
  </si>
  <si>
    <t>05/07/2561</t>
  </si>
  <si>
    <t>PR2-2561:5/15</t>
  </si>
  <si>
    <t>RV02050200361070046
RV02050200361070047</t>
  </si>
  <si>
    <r>
      <t xml:space="preserve">ทุนอุดหนุนดำเนินการวิจัยแผนงานวิจัย
เรื่อง Trial to Study Effect of Iron 
Glycinate and Zinc Glycinate on 
Tilapia Performance งบประมาณทั้งสิ้น
320,000 บาท </t>
    </r>
    <r>
      <rPr>
        <b/>
        <sz val="13"/>
        <color theme="1"/>
        <rFont val="TH SarabunPSK"/>
        <family val="2"/>
      </rPr>
      <t>(งวดที่ 2 = 32,000.00 บ. 
และงวดพิเศษ = 45,000.00 บ.)</t>
    </r>
  </si>
  <si>
    <t>18/07/2561</t>
  </si>
  <si>
    <t>PR2-2561:5/26</t>
  </si>
  <si>
    <t>RV02050200361070232
RV02050200361070233</t>
  </si>
  <si>
    <t>อาจารย์ ดร.สุวิมล จุงจิตร์</t>
  </si>
  <si>
    <t>สำนักงานพัฒนาวิทยาศาตร์
และเทคโนโลยีแห่งชาติ</t>
  </si>
  <si>
    <t xml:space="preserve">สัญญาให้ทุนอุดหนุนโครงการวิจัย 
พัฒนาและวิศวกรรม สัญญาเลขที่ FDA-CO-2561-6445-TH เรื่องการขยาย
ขีดความสามารถของขั้นตอนวิธีเชิง
พันธุกรรมแบบหลายวัตถุประสงค์ด้วย
วิธีพจนานุกรมสำหรับวิธีการคัดเลือก
คุณสมบัติตามความสัมพันธ์แบบหลาย
หมวดหมู่ งบประมาณ 250,000 บาท </t>
  </si>
  <si>
    <t>PR2-2561:5/25</t>
  </si>
  <si>
    <t>RV02050200361070234
RV02050200361070235</t>
  </si>
  <si>
    <t>อาจารย์ ดร.คณิดา สินใหม</t>
  </si>
  <si>
    <t>สัญญาให้ทุนอุดหนุนโครงการวิจัย 
พัฒนาและวิศวกรรม สัญญาเลขที่ FDA-CO-2561-6444-TH 
เรื่อง การสนับสนุนการทำงานร่วมกัน
เชิงสร้างสรรค์ในสภาพแวดล้อมหลาย
จอภาพ งบประมาณ 250,000 บาท</t>
  </si>
  <si>
    <t>23/08/2561</t>
  </si>
  <si>
    <t>PR2-2561:6/13</t>
  </si>
  <si>
    <t>RV02050200361080314</t>
  </si>
  <si>
    <t>สำนักงานพัฒนาเศรษฐกิจ
จากฐานชีวภาพ
(องค์การมหาชน)</t>
  </si>
  <si>
    <t>ทุนอุดหนุนการวิจัยส่งเสริมและสนับสนุน
การวิจัยที่มุ่งเป้าด้านพลาสติกชีวภาพ 
เรื่อง การสังเคราะห์และสมบัติของ
พอลิบิวธิลีนซัคซิเนต (PBS) ตามสัญญา
เลขที่ สพภ.-วช.31/2559 ประจำปี
งบประมาณ 2559 งวดที่ 3 (ครั้งที่ 2)</t>
  </si>
  <si>
    <t>PR2-2561:6/16</t>
  </si>
  <si>
    <t>RV02050200361080323
RV02050200361080324</t>
  </si>
  <si>
    <t>อาจารย์ ดร.นันทิดา สุธรรมวงศ์</t>
  </si>
  <si>
    <t>สำนักงานกองทุนสนับสนุน
การวิจัย (สกว.)</t>
  </si>
  <si>
    <r>
      <t xml:space="preserve">เงินบำรุงสถาบัน (งวดพิเศษ ก) ตาม
สัญญเลขที่ RDG5230028 เรื่องการพัฒนา
ระบบสารสนเทศเพื่อการบริหารจัดการ
ทรัพยากรน้ำเชิงพื้นที่ของจังหวัดพัทลุง 
</t>
    </r>
    <r>
      <rPr>
        <b/>
        <sz val="13"/>
        <color theme="1"/>
        <rFont val="TH SarabunPSK"/>
        <family val="2"/>
      </rPr>
      <t>(โดยแบ่งเป็นส่วนของมหาวิทยาลัยทักษิณ 
จำนวน 51,933.75 บ. (ร้อยละ25) 
ส่วนของคณะวิทยาศาสตร์จำนวนเงิน 
51,933.75 บ. (ร้อยละ25) 
และส่วนของสาขาวิชาวิทยาศาสตร์ชีวภาพและสิ่งแวดล้อมจำนวนเงิน 103,867.50 บ. (ร้อยละ50))</t>
    </r>
  </si>
  <si>
    <t>PR2-2561:6/35</t>
  </si>
  <si>
    <t>RV02050200361090062
RV02050200361090063</t>
  </si>
  <si>
    <t>อาจารย์ ดร.จารุรัตน์ ปัญโญ</t>
  </si>
  <si>
    <t>คณะวิทยาการสุขภาพ
และการกีฬา</t>
  </si>
  <si>
    <t>สำนักงานพัฒนาวิทยาศาสตร์
และเทคโนโลยีแห่งชาติ 
(สวทช.)</t>
  </si>
  <si>
    <t>เงินสนับสนุนโครงการวิจัย เรื่อง ฤทธิ์ต้านมะเร็งและต้านการอักเสบของสารสกัดจากแซะ (Callerya atropurpurea) งวดที่ 1</t>
  </si>
  <si>
    <t>หน่วยงานลักษณะพิเศษ - สำนักบ่มเพาะวิชาการเพื่อวิสาหกิจในชุมชน</t>
  </si>
  <si>
    <t>รวมยอดเงินรับรายได้ประเภททุนสนับสนุนเพื่อการวิจัยระหว่างเดือนตุลาคม 2560 - กันยายน 2561 เป็นเงินทั้งสิ้น</t>
  </si>
  <si>
    <t>ผู้จัดทำ .........................................................</t>
  </si>
  <si>
    <t xml:space="preserve">       ผู้ตรวจสอบ....................................................</t>
  </si>
  <si>
    <t>ผู้อนุมัติ..................................................</t>
  </si>
  <si>
    <t>(นางสาวมานิกา ทองฤกษ์)</t>
  </si>
  <si>
    <t>(นางจันทิมา  คงคาลัย)</t>
  </si>
  <si>
    <t>หัวหน้ากลุ่มภารกิจด้านบัญชี</t>
  </si>
  <si>
    <t>หัวหน้ากลุ่มภารกิจด้านการเงิน</t>
  </si>
  <si>
    <t>หัวหน้าฝ่ายการคลังและทรัพย์สิน</t>
  </si>
  <si>
    <t>สำหรับปีงบประมาณ 2562  ระยะเวลาดำเนินการ 1  ตุลาคม 2561  สิ้นสุด 30 กันยายน 2562</t>
  </si>
  <si>
    <t>วิทยาลัยการจัดการเพื่อการพัฒนา</t>
  </si>
  <si>
    <t>PR2-2562:1/16</t>
  </si>
  <si>
    <t>RV02050200362100164</t>
  </si>
  <si>
    <t>ผศ.ดร.อภิวัฒน์ สมาธิ</t>
  </si>
  <si>
    <t>ห้างหุ้นส่วนจำกัด โรจนกิจ เทรดดิ้ง</t>
  </si>
  <si>
    <t>ค่าธรรมเนียมร้อยละ 10 จากการวิจัยเรื่อง 
แนวทางการดำเนินการกำจัดขยะมูลฝอย
อย่างมีประสิทธิภาพกรณีศึกษาเทศบาล
นครเชียงราย วงเงินทั้งสิ้น 200,000 บาท</t>
  </si>
  <si>
    <t>01/11/2561</t>
  </si>
  <si>
    <t>PR2-2562:1/32</t>
  </si>
  <si>
    <t>RV02050200362110010</t>
  </si>
  <si>
    <t>บริษัท ซุปเปอร์สกาย
เอนเนอร์ยี จำกัด</t>
  </si>
  <si>
    <r>
      <t xml:space="preserve">สัญญาเลขที่ TSU 03/เอกชน ทุนอุดหนุน
การวิจัย เรื่อง แนวทางการดำเนินธุรกิจ
การแปรรูปพลังงานขยะชุมชนโดยใช้เทคโนโลยีแก๊สซิฟิเคชั่น งวดที่ 1 
</t>
    </r>
    <r>
      <rPr>
        <b/>
        <sz val="13"/>
        <color theme="1"/>
        <rFont val="TH SarabunPSK"/>
        <family val="2"/>
      </rPr>
      <t>(วงเงินทั้งสิ้น 500,000.00 บาท)</t>
    </r>
  </si>
  <si>
    <t>12/09/2562</t>
  </si>
  <si>
    <t>PR2-2562:7/48</t>
  </si>
  <si>
    <t>RV02050200362090262</t>
  </si>
  <si>
    <t>วิสาหกิจชุมชนสมุนไพรไทย
ท่าชุมพล</t>
  </si>
  <si>
    <r>
      <t xml:space="preserve">ค่าธรรมเนียมร้อยละ 10 จากการวิจัยเรื่อง 
การดำเนินงานของวิสาหกิจชุมชนสมุนไพร
ไทยท่าชุมพลต่อแนวทางการปลูกพืชกัญชา
เพื่อประโยชน์ทางการแพทย์แผนไทยและ
การวิจัยภายใต้เงื่อนไขกฎหมายเพื่อ
การพัฒนา งบประมาณทั้งสิ้น 500,000 บ. 
</t>
    </r>
    <r>
      <rPr>
        <b/>
        <u/>
        <sz val="13"/>
        <color theme="1"/>
        <rFont val="TH SarabunPSK"/>
        <family val="2"/>
      </rPr>
      <t xml:space="preserve">งวดที่ 1 แบ่งจ่าย 250,000 บาท </t>
    </r>
  </si>
  <si>
    <t>PL2-2562:1/2</t>
  </si>
  <si>
    <t>RV02050200362100134</t>
  </si>
  <si>
    <t>องค์กรปกครองส่วนท้องถิ่น
จำนวน 19 หน่วยงาน</t>
  </si>
  <si>
    <t xml:space="preserve">ทุนอุดหนุนดำเนินการวิจัยแผนงานวิจัยเรื่อง 
สำรวจความพึงพอใจของประชาชนที่มีผล
ต่อการดำเนินงานขององค์กรปกครอง
ส่วนท้องถิ่น ประจำปีงบประมาณ 
พ.ศ.2561-2564 </t>
  </si>
  <si>
    <t>PL2-2562:1/1</t>
  </si>
  <si>
    <t>RV02050200362100136</t>
  </si>
  <si>
    <t>องค์กรปกครองส่วนท้องถิ่น
จำนวน 27 หน่วยงาน</t>
  </si>
  <si>
    <t>PL2-2562:1/3</t>
  </si>
  <si>
    <t>RV02050200362100205</t>
  </si>
  <si>
    <t>องค์กรปกครองส่วนท้องถิ่น
จำนวน 21 หน่วยงาน</t>
  </si>
  <si>
    <t>PL2-2562:1/5</t>
  </si>
  <si>
    <t>RV02050200362100324</t>
  </si>
  <si>
    <t>องค์กรปกครองส่วนท้องถิ่น
จำนวน 22 หน่วยงาน</t>
  </si>
  <si>
    <t>05/11/2561</t>
  </si>
  <si>
    <t>PL2-2562:1/6</t>
  </si>
  <si>
    <t>RV02050200362110039</t>
  </si>
  <si>
    <t>องค์กรปกครองส่วนท้องถิ่น
จำนวน 14 หน่วยงาน</t>
  </si>
  <si>
    <t>15/11/2561</t>
  </si>
  <si>
    <t>PR2-2562:1/45</t>
  </si>
  <si>
    <t>RV02050200362110192</t>
  </si>
  <si>
    <r>
      <t xml:space="preserve">สัญญาจ้างที่ปรึกษาเลขที่ 134/2560 ของ
สำนักงานปลัดกระทรวงยุติธรรม ว่าจ้างให้
เป็นที่ปรึกษาโครงการปฏิบัติการการจัดการ
ศึกษาเพื่อสร้างทักษะชีวิตสำหรับเด็กและ
เยาวชนในสถานพินิจและคุ้มครองเด็กและ
เยาวชน ศูนย์ฝึกอบรมเด็กและเยาวชนใน
จังหวัดชายแดนภาคใต้ งวดที่ 5 
</t>
    </r>
    <r>
      <rPr>
        <b/>
        <sz val="13"/>
        <color theme="1"/>
        <rFont val="TH SarabunPSK"/>
        <family val="2"/>
      </rPr>
      <t>(งบประมาณทั้งสิ้น 1,000,000 บาท)</t>
    </r>
  </si>
  <si>
    <t>16/11/2561</t>
  </si>
  <si>
    <t>PL2-2562:1/8</t>
  </si>
  <si>
    <t>RV02050200362110210</t>
  </si>
  <si>
    <t>องค์กรปกครองส่วนท้องถิ่น
จำนวน 28 หน่วยงาน</t>
  </si>
  <si>
    <t>PL2-2562:1/9</t>
  </si>
  <si>
    <t>RV02050200362110211</t>
  </si>
  <si>
    <t>ทุนอุดหนุนดำเนินการวิจัยแผนงานวิจัยเรื่อง 
สำรวจความพึงพอใจของประชาชนที่มีผล
ต่อการดำเนินงานขององค์กรปกครอง
ส่วนท้องถิ่น ประจำปีงบประมาณ 
พ.ศ.2561-2564 (เงินประกันผลงาน)</t>
  </si>
  <si>
    <t>RV02050200362110212</t>
  </si>
  <si>
    <t xml:space="preserve">ทุนอุดหนุนดำเนินการวิจัยแผนงานวิจัย
เรื่อง สำรวจความพึงพอใจของผู้รับบริการ
สำหรับการประเมินประสิทธิภาพและ
ประสิทธิผลการปฏิบัติราชการขององค์กร
ปกครองส่วนท้องถิ่น ประจำปีงบประมาณ 
พ.ศ.2561 </t>
  </si>
  <si>
    <t>30/11/2561</t>
  </si>
  <si>
    <t>PL2-2562:1/10</t>
  </si>
  <si>
    <t>RV02050200362110331</t>
  </si>
  <si>
    <t>องค์กรปกครองส่วนท้องถิ่น
จำนวน 16 หน่วยงาน</t>
  </si>
  <si>
    <t>17/12/2561</t>
  </si>
  <si>
    <t>PL2-2562:1/11</t>
  </si>
  <si>
    <t>RV02050200362120118</t>
  </si>
  <si>
    <t>18/12/2561</t>
  </si>
  <si>
    <t>PL2-2562:1/12</t>
  </si>
  <si>
    <t>RV02050200362120122</t>
  </si>
  <si>
    <t>24/12/2561</t>
  </si>
  <si>
    <t>PL2-2562:1/14</t>
  </si>
  <si>
    <t>RV02050200362120192</t>
  </si>
  <si>
    <t>25/12/2561</t>
  </si>
  <si>
    <t>PR2-2562:2/42</t>
  </si>
  <si>
    <t>RV02050200362120215</t>
  </si>
  <si>
    <t>22/02/2562</t>
  </si>
  <si>
    <t>PR2-2562:3/50</t>
  </si>
  <si>
    <t>RV02050200362020263</t>
  </si>
  <si>
    <r>
      <t xml:space="preserve">สัญญาจ้างที่ปรึกษาเลขที่ 134/2560 ของ
สำนักงานปลัดกระทรวงยุติธรรม ว่าจ้างให้
เป็นที่ปรึกษาโครงการปฏิบัติการการจัดการ
ศึกษาเพื่อสร้างทักษะชีวิตสำหรับเด็กและ
เยาวชนในสถานพินิจและคุ้มครองเด็กและ
เยาวชน ศูนย์ฝึกอบรมเด็กและเยาวชนใน
จังหวัดชายแดนภาคใต้ เงินประกันผลงาน
</t>
    </r>
    <r>
      <rPr>
        <b/>
        <sz val="13"/>
        <color theme="1"/>
        <rFont val="TH SarabunPSK"/>
        <family val="2"/>
      </rPr>
      <t>(งบประมาณทั้งสิ้น 1,000,000 บาท)</t>
    </r>
  </si>
  <si>
    <t>13/03/2562</t>
  </si>
  <si>
    <t>PR2-2562:4/19</t>
  </si>
  <si>
    <t>RV02050200362030160</t>
  </si>
  <si>
    <t>อาจารย์ ดร.วิชชาญ จุลหริก</t>
  </si>
  <si>
    <t>บริษัทดนตรีและศิลปะ
ซิมโฟนี</t>
  </si>
  <si>
    <t>ตามสัญญาเลขที่ ซฟน.001/2562 
สัญญาจ้างดำเนินโครงการวิจัย เรื่อง 
มุมมองความสำเร็จของหลักสูตรดนตรี 
"Symphony Learning" ในการเสริมสร้าง
ศักยภาพการเรียนรู้ในกับเด็กและเยาวชน วงเงินตามสัญญา 600,000 บ. งวดที่ 1</t>
  </si>
  <si>
    <t>19/03/2562</t>
  </si>
  <si>
    <t>PL2-2562:1/19</t>
  </si>
  <si>
    <t>RV02050200362030221</t>
  </si>
  <si>
    <t>องค์การบริหารส่วนตำบล
ควนรู</t>
  </si>
  <si>
    <t>22/03/2562</t>
  </si>
  <si>
    <t>PR2-2562:4/30</t>
  </si>
  <si>
    <t>RV02050200362030282</t>
  </si>
  <si>
    <t>รองศาสตราจารย์กรกฎ ทองขะโชค</t>
  </si>
  <si>
    <t>โรงเรียนนายร้อยตำรวจ</t>
  </si>
  <si>
    <t xml:space="preserve">ตามสัญญาเลขที่ นว(ยธ)6/2561 
สัญญารับทุนอุดหนุนการวิจัย เรื่อง 
กระบวนการยุติธรรมเชิงสมานฉันท์เด็กและเยาวชนในจังหวัดชายแดนภาคใต้ งวดที่ 1
วงเงินตามสัญญา 1,100,000 บาท 
</t>
  </si>
  <si>
    <t>22/04/2562</t>
  </si>
  <si>
    <t>PR2-2562:4/49</t>
  </si>
  <si>
    <t>RV02050200362040184</t>
  </si>
  <si>
    <t>เครือข่ายอุดมศึกษา
ภาคใต้ตอนล่าง
(ม.สงขลานครินทร์)</t>
  </si>
  <si>
    <r>
      <t xml:space="preserve">ทุนอุดหนุนดำเนินการวิจัยจากเครือข่าย
อุดมศึกาภาคใต้ตอนล่าง เรื่อง การสร้าง
ชุมชนแห่งการเรียนรู้ครูประถมศึกษา 
เพื่อการพัฒนาทักษะการจัดการเรียนรู้
ภาษาไทย เพื่อการอ่านออกเขียนได้และ
การอ่านเชิงวิเคราะห์ โดยใช้บทอ่านหนังสือ
ของพ่อฯ - ภายใต้โครงการพัฒนาคุณภาพ
การศึกษาและการพัฒนาท้องถิ่นโดยมี
สถาบันอุดมศึกาเป็นพี่เลี้ยงประจำปี 2562 
</t>
    </r>
    <r>
      <rPr>
        <b/>
        <sz val="13"/>
        <color theme="1"/>
        <rFont val="TH SarabunPSK"/>
        <family val="2"/>
      </rPr>
      <t>งบประมาณทั้งสิ้น 570,000.00 บาท</t>
    </r>
  </si>
  <si>
    <t>01/05/2562</t>
  </si>
  <si>
    <t>PR2-2562:5/9</t>
  </si>
  <si>
    <t>RV02050200362050002</t>
  </si>
  <si>
    <t>อาจารย์ ดร.ศิรดา นวลประดิษฐ์</t>
  </si>
  <si>
    <t>สำนักงานกองทุน
สนับสนุนการวิจัย (สกว)</t>
  </si>
  <si>
    <t xml:space="preserve">เงินงวดพิเศษ ก . ตามสัญญาเลขที่ 
RDG5940004-SO6 เรื่อง การพัฒนา
ศักยภาพการคิดต้นทุนผลิตภัณฑ์และ
การใช้เทคนิคบัญชีบริหารของวิสาหกิจ
ชุมชนผู้ผลิตและแปรรูปข้าวสังข์หยดพัทลุง 
บ้านเขากลาง อำเภอควนขนุน 
จังหวัดพัทลุง </t>
  </si>
  <si>
    <t>02/05/2562</t>
  </si>
  <si>
    <t>PR2-2562:5/14</t>
  </si>
  <si>
    <t>RV02050200362050025</t>
  </si>
  <si>
    <t>อาจารย์ เจษฎา ทองขาว</t>
  </si>
  <si>
    <t>มูลนิธิอันเฟรล (ANFREIL)</t>
  </si>
  <si>
    <r>
      <t xml:space="preserve">ทุนอุดหนุนการวิจัย เรื่อง มาตรการทาง
กฎหมายเกี่ยวกับการเลือกตั้งของคนพิการ 
ตามพระราชบัญญัติประกอบรัฐธรรมนูญ
ว่าด้วยการเลือกตั้งสมาชิกสภาผู้แทนราษฎร 
พ.ศ.2561 งวดที่ 1 
</t>
    </r>
    <r>
      <rPr>
        <b/>
        <sz val="13"/>
        <color theme="1"/>
        <rFont val="TH SarabunPSK"/>
        <family val="2"/>
      </rPr>
      <t>งบประมาณทั้งสิ้น 2,700 USD</t>
    </r>
    <r>
      <rPr>
        <sz val="13"/>
        <color theme="1"/>
        <rFont val="TH SarabunPSK"/>
        <family val="2"/>
      </rPr>
      <t xml:space="preserve"> </t>
    </r>
  </si>
  <si>
    <t>21/05/2562</t>
  </si>
  <si>
    <t>PR2-2562:5/27</t>
  </si>
  <si>
    <t>RV02050200362050231</t>
  </si>
  <si>
    <t>ผศ.ดร.สุทธิพร บุญมาก</t>
  </si>
  <si>
    <r>
      <t xml:space="preserve">เงินงวดพิเศษ ก . ตามสัญญาเลขที่ 
RDG6010040 เรื่อง นโยบายการย้ายถิ่น
ข้าวของแรงงานชาวต่างชาติระดับทักษะ
ของประเทศสมาชิกอาเซียน : กรณีศึกษา
ประเทศสิงคโปร์และบรูไน 
</t>
    </r>
    <r>
      <rPr>
        <b/>
        <sz val="13"/>
        <color theme="1"/>
        <rFont val="TH SarabunPSK"/>
        <family val="2"/>
      </rPr>
      <t>(ส่วนของมหาวิทยาลัย ร้อยละ 25)</t>
    </r>
  </si>
  <si>
    <t>23/05/2562</t>
  </si>
  <si>
    <t>PR2-2562:5/31</t>
  </si>
  <si>
    <t>RV02050200362050243</t>
  </si>
  <si>
    <t>ตามสัญญาเลขที่ ซฟน.001/2562 
สัญญาจ้างดำเนินโครงการวิจัย เรื่อง 
มุมมองความสำเร็จของหลักสูตรดนตรี 
"Symphony Learning" ในการเสริมสร้าง
ศักยภาพการเรียนรู้ในกับเด็กและเยาวชน วงเงินตามสัญญา 600,000 บ. งวดที่ 2</t>
  </si>
  <si>
    <t>PR2-2562:5/34</t>
  </si>
  <si>
    <t>RV02050200362050245</t>
  </si>
  <si>
    <t>สถาบันพระปกเกล้า</t>
  </si>
  <si>
    <t>สัญญาเลขที่ พป106/2562 สัญญาจ้าง
ปฏิบัติงานศึกาวิจัยเรื่อง สิทธิและเสรีภาพ
ของประชาชนและชุมชนกับการปฏิบัติ
หน้าที่ของรัฐตามที่รัฐธรรมนูญกำหนด : 
บทเรียนเพื่อการพัฒนากลไกความร่วมมือ
ระหว่างภาครัฐกับประชาชาชนและชุมชน 
วงเงินทั้งสิ้น 180,000 บาท งวดที่ 1</t>
  </si>
  <si>
    <t>28/05/2562</t>
  </si>
  <si>
    <t>PR2-2562:5/35</t>
  </si>
  <si>
    <t>RV02050200362050304</t>
  </si>
  <si>
    <r>
      <t xml:space="preserve">ตามสัญญาเลขที่ นว(ยธ)6/2561 
สัญญารับทุนอุดหนุนการวิจัย เรื่อง 
กระบวนการยุติธรรมเชิงสมานฉันท์เด็กและเยาวชนในจังหวัดชายแดนภาคใต้ งวดที่ 2
</t>
    </r>
    <r>
      <rPr>
        <b/>
        <sz val="13"/>
        <color theme="1"/>
        <rFont val="TH SarabunPSK"/>
        <family val="2"/>
      </rPr>
      <t xml:space="preserve">วงเงินตามสัญญา 1,100,000 บาท </t>
    </r>
    <r>
      <rPr>
        <sz val="13"/>
        <color theme="1"/>
        <rFont val="TH SarabunPSK"/>
        <family val="2"/>
      </rPr>
      <t xml:space="preserve">
</t>
    </r>
  </si>
  <si>
    <t>PR2-2562:5/44</t>
  </si>
  <si>
    <t>RV02050200362060002</t>
  </si>
  <si>
    <r>
      <t xml:space="preserve">ทุนอุดหนุนการวิจัย เรื่อง มาตรการทาง
กฎหมายเกี่ยวกับการเลือกตั้งของคนพิการ 
ตามพระราชบัญญัติประกอบรัฐธรรมนูญ
ว่าด้วยการเลือกตั้งสมาชิกสภาผู้แทนราษฎร 
พ.ศ.2561 งวดที่ 2 
</t>
    </r>
    <r>
      <rPr>
        <b/>
        <sz val="13"/>
        <color theme="1"/>
        <rFont val="TH SarabunPSK"/>
        <family val="2"/>
      </rPr>
      <t>งบประมาณทั้งสิ้น 2,700 USD</t>
    </r>
    <r>
      <rPr>
        <sz val="13"/>
        <color theme="1"/>
        <rFont val="TH SarabunPSK"/>
        <family val="2"/>
      </rPr>
      <t xml:space="preserve"> </t>
    </r>
  </si>
  <si>
    <t>PR2-2562:2/26</t>
  </si>
  <si>
    <t>JV02050200362060011</t>
  </si>
  <si>
    <t>ผศ.ดร.ปาริฉัตร ตู้ดำ</t>
  </si>
  <si>
    <t xml:space="preserve">เงินงวดพิเศษ ก . ตามสัญญาเลขที่ 
RDG5910030 เรื่อง สถานการณ์และ
การปรับตัวของผู้ประกอบการธุรกิจที่พัก
ในพื้นที่สามจังหวัดชายแดนภาคใต้ 
ประจำปีงบประมาณ 2559 </t>
  </si>
  <si>
    <t>PR2-2562:3/41</t>
  </si>
  <si>
    <t>JV02050200362060024</t>
  </si>
  <si>
    <t>ผศ.อภิเชษฐ กาญจนดิฐ</t>
  </si>
  <si>
    <r>
      <t xml:space="preserve">เงินงวดพิเศษ ก . ตามสัญญาเลขที่
RDG5910022 เรื่อง การดำเนินงานของ
รัฐบาลมาเลเซียในการต่อต้านการก่อ
การร้าย (คศ.2003-2015)  
</t>
    </r>
    <r>
      <rPr>
        <b/>
        <sz val="13"/>
        <color theme="1"/>
        <rFont val="TH SarabunPSK"/>
        <family val="2"/>
      </rPr>
      <t>(เฉพาะส่วนของมหาวิทยาลัยร้อยละ 25)</t>
    </r>
  </si>
  <si>
    <t>PR2-2562:3/22</t>
  </si>
  <si>
    <t>JV02050200362060026</t>
  </si>
  <si>
    <t>อาจารย์ สมพงค์ พรมสะอาด</t>
  </si>
  <si>
    <t xml:space="preserve">เงินงวดพิเศษ ก . ตามสัญญาเลขที่ 
SRI5910106 เรื่องแนวทางการพัฒนา
ระบบนิเวศน์ที่เอื้อต่อการเกิดขึ้นของธุรกิจ
เทคโนโลยีจัดตั้งใหม่:ศึกษาเปรียบเทียบ
ประเทศสิงคโปร์ มาเลเซีย และประเทศไทย </t>
  </si>
  <si>
    <t>03/07/2562</t>
  </si>
  <si>
    <t>PR2-2562:6/22</t>
  </si>
  <si>
    <t>RV02050200362070026</t>
  </si>
  <si>
    <r>
      <t xml:space="preserve">ทุนอุดหนุนการวิจัย เรื่อง มาตรการทาง
กฎหมายเกี่ยวกับการเลือกตั้งของคนพิการ 
ตามพระราชบัญญัติประกอบรัฐธรรมนูญ
ว่าด้วยการเลือกตั้งสมาชิกสภาผู้แทนราษฎร 
พ.ศ.2561 งวดที่ 3 
</t>
    </r>
    <r>
      <rPr>
        <b/>
        <sz val="13"/>
        <color theme="1"/>
        <rFont val="TH SarabunPSK"/>
        <family val="2"/>
      </rPr>
      <t>งบประมาณทั้งสิ้น 2,700 USD</t>
    </r>
    <r>
      <rPr>
        <sz val="13"/>
        <color theme="1"/>
        <rFont val="TH SarabunPSK"/>
        <family val="2"/>
      </rPr>
      <t xml:space="preserve"> </t>
    </r>
  </si>
  <si>
    <t>16/08/2562</t>
  </si>
  <si>
    <t>PR2-2562:7/19</t>
  </si>
  <si>
    <t>RV02050200362080217</t>
  </si>
  <si>
    <t>เครือข่ายอุดมศึกษา
ภาคใต้ตอนล่าง 
(ม.สงขลานครินทร์)</t>
  </si>
  <si>
    <r>
      <t xml:space="preserve">ทุนอุดหนุนดำเนินการวิจัยจากเครือข่าย
อุดมศึกาภาคใต้ตอนล่าง เรื่อง พัฒนา
คุณภาพการเรียนรู้ ภาษาไทยเชิงรุก 
โดยใช้กระบวนการชุมชนวิชาชีพครู 
(Professional Learning Community) 
และการสอนงานและเป็นพี่เลี้ยง 
(Coaching and Mentoring) 
</t>
    </r>
    <r>
      <rPr>
        <b/>
        <sz val="13"/>
        <color theme="1"/>
        <rFont val="TH SarabunPSK"/>
        <family val="2"/>
      </rPr>
      <t>งบประมาณทั้งสิ้น 75,000 บาท</t>
    </r>
    <r>
      <rPr>
        <sz val="13"/>
        <color theme="1"/>
        <rFont val="TH SarabunPSK"/>
        <family val="2"/>
      </rPr>
      <t xml:space="preserve"> </t>
    </r>
  </si>
  <si>
    <t>30/08/2562</t>
  </si>
  <si>
    <t>PL2-2562:1/27</t>
  </si>
  <si>
    <t>RV02050200362080359</t>
  </si>
  <si>
    <t>PL2-2562:1/29</t>
  </si>
  <si>
    <t>RV02050200362090261</t>
  </si>
  <si>
    <t>19/09/2562</t>
  </si>
  <si>
    <t>PL2-2562:1/30</t>
  </si>
  <si>
    <t>RV02050200362090381</t>
  </si>
  <si>
    <t>23/09/2562</t>
  </si>
  <si>
    <t>PL2-2562:1/31</t>
  </si>
  <si>
    <t>RV02050200362090454</t>
  </si>
  <si>
    <t>25/09/2562</t>
  </si>
  <si>
    <t>PL2-2562:1/32</t>
  </si>
  <si>
    <t>RV02050200362090470</t>
  </si>
  <si>
    <t>องค์กรปกครองส่วนท้องถิ่น
จำนวน 18 หน่วยงาน</t>
  </si>
  <si>
    <t>PR2-2562:1/31</t>
  </si>
  <si>
    <t>RV02050200362110009</t>
  </si>
  <si>
    <t>ทุนอุดหนุนการวิจัยส่งเสริมและสนับสนุน
การวิจัยที่มุ่งเป้าด้านพลาสติกชีวภาพ 
เรื่อง การสังเคราะห์และสมบัติของ
พอลิบิวธิลีนซัคซิเนต (PBS) ตามสัญญา
เลขที่ สพภ.-วช.31/2559 ประจำปี
งบประมาณ 2559 (เงินประกันผลงาน)</t>
  </si>
  <si>
    <t>PR2-2562:2/5</t>
  </si>
  <si>
    <t>RV02050200362110328</t>
  </si>
  <si>
    <t>อาจารย์ ดร.วันลภ ดิษสุวรรณ์</t>
  </si>
  <si>
    <t>สำนักงานคณะกรรมการ
การวิจัยแห่งชาติ (วช.)</t>
  </si>
  <si>
    <r>
      <t xml:space="preserve">ค่าธรรมเนียมร้อยละ 10 จากการวิจัยเรื่อง 
การจัดการทรัพยากรทางทะเลและชายฝั่ง
ในชุมชนแบบมีส่วนร่วมเพื่อพัฒนาและฟื้นฟู
ธนาคารปูม้าอย่างยั่งยืน จังหวัดสตูล งวดที่ 1
</t>
    </r>
    <r>
      <rPr>
        <b/>
        <sz val="13"/>
        <color theme="1"/>
        <rFont val="TH SarabunPSK"/>
        <family val="2"/>
      </rPr>
      <t xml:space="preserve">(งบประมาณทั้งสิ้น 2,100,000 บาท) </t>
    </r>
  </si>
  <si>
    <t>PR2-2562:2/4</t>
  </si>
  <si>
    <t>RV02050200362110329</t>
  </si>
  <si>
    <r>
      <t xml:space="preserve">ทุนอุดหนุนดำเนินการวิจัยแผนงานวิจัย
เรื่อง Trial to Study Effect of Phytase 
supplementation on growth and 
feed utilization in Nile Tilapia </t>
    </r>
    <r>
      <rPr>
        <b/>
        <sz val="13"/>
        <color theme="1"/>
        <rFont val="TH SarabunPSK"/>
        <family val="2"/>
      </rPr>
      <t>(งบประมาณทั้งสิ้น 396,000.00 บาท)</t>
    </r>
  </si>
  <si>
    <t>PR2-2562:2/6</t>
  </si>
  <si>
    <t>RV02050200362110330</t>
  </si>
  <si>
    <t>สำนักงานพัฒนาเศรษฐกิจจากฐานชีวภาพ 
(องค์การมหาชน)</t>
  </si>
  <si>
    <r>
      <t xml:space="preserve">ทุนอุดหนุนดำเนินการวิจัย เรื่อง โครงการ
การกำจัดก๊าซไฮโดรเจนซัลไฟด์ในก๊าซ
ชีวภาพด้วยระบบ Denitrifying Sulfide 
Remaoval งวดที่ 3 
</t>
    </r>
    <r>
      <rPr>
        <b/>
        <sz val="13"/>
        <color theme="1"/>
        <rFont val="TH SarabunPSK"/>
        <family val="2"/>
      </rPr>
      <t xml:space="preserve">(งบประมาณทั้งสิ้น 470,000.00 บาท) </t>
    </r>
  </si>
  <si>
    <t>07/12/2561</t>
  </si>
  <si>
    <t>PR2-2562:2/17</t>
  </si>
  <si>
    <t>RV02050200362120045</t>
  </si>
  <si>
    <t>อาจารย์วิกาญดา ทองเนื้อแข็ง</t>
  </si>
  <si>
    <t>สำนักงานพัฒนาเศรษฐกิจ
จากฐานชีพวภาพ 
(องค์การมหาชน)</t>
  </si>
  <si>
    <r>
      <t>สัญญาเลขที่ สพภ.-วช.18/2561 สัญญารับ
ทุนอุดหนุนส่งเสริมและสนับสนุนการวิจัย
ด้านสิ่งแวดล้อมความหลากหลายทาง
ชีวภาพ และระบบนิเวศ เรื่อง การกำจัด
ซัลไฟด์และผลิตกรดซัลฟริคจากซัลไฟด์ใน
ระบบผลิตก๊าซชีวภาพจากน้ำเสียแปรรูป
ยางพาราเพื่อเพิ่มศักยภาพในการผลิต
มีแทนและนำกรดซัลฟูริคกลับมาใช้ใหม่ใน
กระบวนการผลิต งวดที่ 1</t>
    </r>
    <r>
      <rPr>
        <b/>
        <sz val="13"/>
        <color theme="1"/>
        <rFont val="TH SarabunPSK"/>
        <family val="2"/>
      </rPr>
      <t xml:space="preserve"> 
(วงเงินตามสัญญา 500,000 บ.) </t>
    </r>
  </si>
  <si>
    <t>05/02/2562</t>
  </si>
  <si>
    <t>PR2-2562:3/29</t>
  </si>
  <si>
    <t>RV02050200362020022</t>
  </si>
  <si>
    <t>ผศ.ดร.วิไลลักษณ์ กล่อมพงษ์</t>
  </si>
  <si>
    <t>คณะอุตสาหกรรมเกษตรและชีวภาพ</t>
  </si>
  <si>
    <t>สถาบันวิจัยวิทยาศาสตร์และ
เทคโนโลยีแห่งประเทศไทย</t>
  </si>
  <si>
    <r>
      <t xml:space="preserve">ตามสัญญาเลขที่ จ.19/2562 เพื่อจ้างทำงาน
ต่อยอดและสร้างนวัตกรรมแบบมีส่วนร่วม
ให้กับโครงการ 1 ตำบล 1 นวัตกรรมเกษตร 
จำนวน 7 โครงการ งวดที่ 1
</t>
    </r>
    <r>
      <rPr>
        <b/>
        <sz val="13"/>
        <color theme="1"/>
        <rFont val="TH SarabunPSK"/>
        <family val="2"/>
      </rPr>
      <t>(วงเงินรวม 1,258,000.00 บ.)</t>
    </r>
  </si>
  <si>
    <t>05/03/2562</t>
  </si>
  <si>
    <t>PR2-2562:4/10</t>
  </si>
  <si>
    <t>RV02050200362030029</t>
  </si>
  <si>
    <t>อาจารย์ ดร.พลากร บุญใส</t>
  </si>
  <si>
    <t>สำนักงานพัฒนาการวิจัย
การเกษตร</t>
  </si>
  <si>
    <t>ตามสัญญาเลขที่ PRP6105012420  
เงินสนับสนุนโครงการวิจัย เรื่อง 
การพัฒนาคุณสมบัติทางกายภาพของ
ใบไม้สีทองด้วยการเคลือบน้ำยาง
เพื่อเพิ่มมูลค่าผลิตภัณฑ์ในพื้นที่จังหวัด
ชายแดนภาคใต้ งวดที่ 1 
วงเงินตามงบประมาณ 433,400 บาท</t>
  </si>
  <si>
    <t>01/04/2562</t>
  </si>
  <si>
    <t>PR2-2562:4/36</t>
  </si>
  <si>
    <t>RV02050200362040001</t>
  </si>
  <si>
    <t>สำนักงานพัฒนาเศรษฐกิจ
จากฐานชีวภาพ 
(องค์การมหาชน)</t>
  </si>
  <si>
    <r>
      <t xml:space="preserve">สัญญาเลขที่ สพภ.-วช.18/2561 สัญญา
รับทุนอุดหนุนส่งเสริมและสนับสนุนการวิจัย
ด้านสิ่งแวดล้อม ความหลากหลายทาง
ชีวภาพ และระบบนิเวศ เรื่อง การกำจัด
ซัลไฟด์และผลิตกรดซัลฟริคจากซัลไฟด์
ในระบบผลิตก๊าซชีวภาพจากน้ำเสียแปรรูป
ยางพาราเพื่อเพิ่มศักยภาพในการผลิตมีแทน
และนำกรดซัลฟูริคกลับมาใช้ใหม่ใน
กระบวนการผลิต งวดที่ 2 
</t>
    </r>
    <r>
      <rPr>
        <b/>
        <sz val="13"/>
        <color theme="1"/>
        <rFont val="TH SarabunPSK"/>
        <family val="2"/>
      </rPr>
      <t xml:space="preserve">(วงเงินตามสัญญา 500,000 บาท) </t>
    </r>
  </si>
  <si>
    <t>09/04/2562</t>
  </si>
  <si>
    <t>PR2-2562:4/39</t>
  </si>
  <si>
    <t>RV02050200362040113</t>
  </si>
  <si>
    <t>ผู้ช่วยศาสตราจารย์อุษา อ้นทอง</t>
  </si>
  <si>
    <t>กองทุนสนับสนุน
การสร้างเสริมสุขภาพ 
(สสส.)</t>
  </si>
  <si>
    <r>
      <t xml:space="preserve">ค่าธรรมเนียมสถาบันของงวดที่ 1 (10%)
ตามข้อตกลงดำเนินงานสร้างเสริมสุขภาพ เลขที่ 61-00-1385 โครงการประเมินผลเ
พื่อการเรียนรู้และพัฒนาเพื่อเสริมสร้าง
แนวทางการดำเนินงานพื้นที่ชุมชนน่าอยู่
จังหวัดพัทลุง และชุมชนชายแดนใต้
(จังหวัดยะลาและปัตตานี) 
</t>
    </r>
    <r>
      <rPr>
        <b/>
        <sz val="13"/>
        <color theme="1"/>
        <rFont val="TH SarabunPSK"/>
        <family val="2"/>
      </rPr>
      <t xml:space="preserve">งบประมาณทั้งสิ้น 2,000,000บ. </t>
    </r>
  </si>
  <si>
    <t>PR2-2562:4/38</t>
  </si>
  <si>
    <t>RV02050200362040114</t>
  </si>
  <si>
    <t>อาจารย์ ดร.นันทรัตน์ พฤกษาพิทักษ์</t>
  </si>
  <si>
    <r>
      <t xml:space="preserve">ตามสัญญาเลขที่ สพภ.-วช.42/2561 
สัญญารับทุนอุดหนุนการวิจัย เรื่อง 
การสังเคราะห์และสมบัติของพอลิบิวธิลีน
ซัคซิเนต(PBS)เชิงอุตสาหกรรม งวดที่ 1
</t>
    </r>
    <r>
      <rPr>
        <b/>
        <sz val="13"/>
        <color theme="1"/>
        <rFont val="TH SarabunPSK"/>
        <family val="2"/>
      </rPr>
      <t xml:space="preserve">งบประมาณทั้งสิ้น 1,500,000 บ. </t>
    </r>
  </si>
  <si>
    <t>หักส่ง
ค่าธรรมเนียม
ในงวดที่ 3</t>
  </si>
  <si>
    <t>PR2-2562:5/33</t>
  </si>
  <si>
    <t>RV02050200362050241</t>
  </si>
  <si>
    <t>อาจารย์ ดร.สุปานดี มณีโลกย์</t>
  </si>
  <si>
    <t xml:space="preserve">สำนักงานพัฒนา
วิทยาศาสตร์และ
เทคโนโลยีแห่งชาติ </t>
  </si>
  <si>
    <r>
      <t xml:space="preserve">เงินสนับสนุนทุนนักวิจัยใหม่ (วท.) 
ประจำปี 2561 เรื่อง การบำบัดโรดามีน 
บี ด้วยกระบวนการไฟฟ้าเคมีโดยใช้
ขั่วไฟฟ้า Ni/Sb-SnO2 งวดที่ 1
</t>
    </r>
    <r>
      <rPr>
        <b/>
        <sz val="13"/>
        <color theme="1"/>
        <rFont val="TH SarabunPSK"/>
        <family val="2"/>
      </rPr>
      <t xml:space="preserve">งบประมาณทั้งสิ้น 250,000 บาท </t>
    </r>
  </si>
  <si>
    <t>PR2-2562:5/32</t>
  </si>
  <si>
    <t>RV02050200362050242</t>
  </si>
  <si>
    <t>อาจารย์ ดร.นันทิยา พนมจันทร์</t>
  </si>
  <si>
    <t>คณะเทคโนโลยีและ
การพัฒนาชุมชน</t>
  </si>
  <si>
    <r>
      <t xml:space="preserve">เงินสนับสนุนทุนนักวิจัยใหม่ (วท.) 
ประจำปี 2561 เรื่อง การพัฒนาเทคนิค
ไบโอไพรมิงที่เหมาะสมต่อการยกระดับ
คุณภาพเมล็ดพันธุ์ด้วยแบคทีเรียส่งเสริม
การเจริญเติบโตบริเวณรากของข้าว งวดที่ 1
</t>
    </r>
    <r>
      <rPr>
        <b/>
        <sz val="13"/>
        <color theme="1"/>
        <rFont val="TH SarabunPSK"/>
        <family val="2"/>
      </rPr>
      <t>งบประมาณทั้งสิ้น 250,000 บาท</t>
    </r>
  </si>
  <si>
    <t>PR2-2562:5/42</t>
  </si>
  <si>
    <t>RV02050200362050305</t>
  </si>
  <si>
    <r>
      <t xml:space="preserve">ทุนอุดหนุนดำเนินการวิจัย เรื่อง โครงการ
การกำจัดก๊าซไฮโดรเจนซัลไฟด์ในก๊าซ
ชีวภาพด้วยระบบ Denitrifying Sulfide 
Remaoval งวดที่ 4 
</t>
    </r>
    <r>
      <rPr>
        <b/>
        <sz val="13"/>
        <color theme="1"/>
        <rFont val="TH SarabunPSK"/>
        <family val="2"/>
      </rPr>
      <t xml:space="preserve">(งบประมาณทั้งสิ้น 470,000.00 บาท) </t>
    </r>
  </si>
  <si>
    <t>PR2-2562:6/20</t>
  </si>
  <si>
    <t>RV02050200362070027</t>
  </si>
  <si>
    <t>อาจารย์ ดร.นิรมล จันทรชาติ</t>
  </si>
  <si>
    <r>
      <t xml:space="preserve">ทุนอุดหนุนดำเนินการวิจัยตามโครงการ
วิจัยพัฒนาและวิศวกรรมเรื่อง การคำนวณ
และการดูดซับโลหะหนักในน้ำ โดยใช้
โครงสร้างคอนเดนส์แทนนินในวัสดุธรรมชาติ
เป็นตัวดูดซับ งวดที่ 3
</t>
    </r>
    <r>
      <rPr>
        <b/>
        <sz val="13"/>
        <color theme="1"/>
        <rFont val="TH SarabunPSK"/>
        <family val="2"/>
      </rPr>
      <t>งบประมาณทั้งโครงการ 250,000 บาท</t>
    </r>
  </si>
  <si>
    <t>หักส่ง
ค่าธรรมเนียม
ในงวดที่ 1</t>
  </si>
  <si>
    <t>19/07/2562</t>
  </si>
  <si>
    <t>PR2-2562:6/31</t>
  </si>
  <si>
    <t>RV02050200362070285</t>
  </si>
  <si>
    <t>ผศ.ดร.ชลทิศา สุขเกษม</t>
  </si>
  <si>
    <t>สำนักงานพัฒนาการวิจัย
เกษตร (องค์การมหาชน)</t>
  </si>
  <si>
    <r>
      <rPr>
        <b/>
        <u/>
        <sz val="13"/>
        <color theme="1"/>
        <rFont val="TH SarabunPSK"/>
        <family val="2"/>
      </rPr>
      <t>เงินค่าธรรมเนียมอุดหนุนสถาบันตามที่หน่วยงานต้นเรื่องสนับสนุนตามแผน</t>
    </r>
    <r>
      <rPr>
        <sz val="13"/>
        <color theme="1"/>
        <rFont val="TH SarabunPSK"/>
        <family val="2"/>
      </rPr>
      <t xml:space="preserve">
ตามสัญญาเลขที่ CRP5805021760 สัญญา
รับทุนอุดหนุนโครงการวิจัยการเกษตร 
เรื่อง การบำบัดสีในน้ำเสียจากการแปรรูป
ปาล์มน้ำมันด้วยเซลล์เชื้อเพลิงจุลินทรีย์ชนิดใช้กล้าเชื้อราที่เจริญภายใต้สภาวะไร้อากาศ
เป็นตัวเร่งบนขั้วอาโนด 
</t>
    </r>
    <r>
      <rPr>
        <b/>
        <sz val="13"/>
        <color theme="1"/>
        <rFont val="TH SarabunPSK"/>
        <family val="2"/>
      </rPr>
      <t>งบประมาณทั้งสิ้น 800,594.00 บาท</t>
    </r>
  </si>
  <si>
    <t>23/07/2562</t>
  </si>
  <si>
    <t>PR2-2562:6/34</t>
  </si>
  <si>
    <t>RV02050200362070341</t>
  </si>
  <si>
    <r>
      <t xml:space="preserve">ตามสัญญาเลขที่ สพภ.-วช.42/2561 
สัญญารับทุนอุดหนุนการวิจัย เรื่อง 
การสังเคราะห์และสมบัติของพอลิบิวธิลีน
ซัคซิเนต(PBS)เชิงอุตสาหกรรม งวดที่ 2
</t>
    </r>
    <r>
      <rPr>
        <b/>
        <sz val="13"/>
        <color theme="1"/>
        <rFont val="TH SarabunPSK"/>
        <family val="2"/>
      </rPr>
      <t xml:space="preserve">งบประมาณทั้งสิ้น 1,500,000 บ. </t>
    </r>
  </si>
  <si>
    <t>07/08/2562</t>
  </si>
  <si>
    <t>PR2-2562:7/4</t>
  </si>
  <si>
    <t>RV02050200362080084</t>
  </si>
  <si>
    <t>ทุนอุดหนุนดำเนินการวิจัย เรื่อง Effects 
of enzyme solution on apparent 
digestibility coefficient of feed 
ingredients in hybrid catfish. 
(Ciarias macrocephalus X Clarias 
gariepinus)  งวดที่ 2</t>
  </si>
  <si>
    <t>PR2-2562:7/3</t>
  </si>
  <si>
    <t>RV02050200362080085</t>
  </si>
  <si>
    <t>ทุนอุดหนุนดำเนินการวิจัย เรื่อง The effect 
of high levels of supplementation 
in diet on growth performance and 
feed utilization of Nile tilapia งวดที่ 1</t>
  </si>
  <si>
    <t>13/08/2562</t>
  </si>
  <si>
    <t>PR2-2562:7/12</t>
  </si>
  <si>
    <t>RV02050200362080151</t>
  </si>
  <si>
    <t>รศ.ดร.จอมภพ แววศักดิ์</t>
  </si>
  <si>
    <t xml:space="preserve">ไฟฟ้าฝ่ายผลิต
แห่งประเทศไทย (กฟผ) </t>
  </si>
  <si>
    <t xml:space="preserve">เงินงวดพิเศษ ก. ตามสัญญาที่ 
RDG59D0013 เรื่อง การศึกษาความ
เป็นไปได้ของโรงไฟฟ้าฟาร์มกังหันลมใกล้
ชายฝั่งทะเลและนอกชายฝั่งทะเลอ่าวไทย 
(ระยะที่สอง) : การวิเคราะห์ลม การประเมิน
ทางเทคนิคและกระบวนการประเมิน
ทางสิ่งแวดล้อมในพื้นที่ที่มีศักยภาพ </t>
  </si>
  <si>
    <t>PR2-2562:7/13</t>
  </si>
  <si>
    <t>สำนักงานกองทุนสนับสนุนการวิจัย (สกว)</t>
  </si>
  <si>
    <t>PR2-2562:7/11</t>
  </si>
  <si>
    <t>RV02050200362080155</t>
  </si>
  <si>
    <r>
      <t xml:space="preserve">ตามสัญญาเลขที่ จ.19/2562 เพื่อจ้างทำงาน
ต่อยอดและสร้างนวัตกรรมแบบมีส่วนร่วม
ให้กับโครงการ 1 ตำบล 1 นวัตกรรมเกษตร 
จำนวน 7 โครงการ งวดที่ 2
</t>
    </r>
    <r>
      <rPr>
        <b/>
        <sz val="13"/>
        <color theme="1"/>
        <rFont val="TH SarabunPSK"/>
        <family val="2"/>
      </rPr>
      <t>(วงเงินรวม 1,258,000.00 บ.)</t>
    </r>
  </si>
  <si>
    <t>29/08/2562</t>
  </si>
  <si>
    <t>PR2-2562:7/28</t>
  </si>
  <si>
    <t>RV02050200362080326</t>
  </si>
  <si>
    <r>
      <t xml:space="preserve">ตามสัญญาเลขที่ จ.19/2562 เพื่อจ้างทำงาน
ต่อยอดและสร้างนวัตกรรมแบบมีส่วนร่วม
ให้กับโครงการ 1 ตำบล 1 นวัตกรรมเกษตร 
จำนวน 7 โครงการ งวดที่ 3 (งวดสุดท้าย)
</t>
    </r>
    <r>
      <rPr>
        <b/>
        <sz val="13"/>
        <color theme="1"/>
        <rFont val="TH SarabunPSK"/>
        <family val="2"/>
      </rPr>
      <t>(วงเงินรวม 1,258,000.00 บ.)</t>
    </r>
  </si>
  <si>
    <t>PR2-2562:7/47</t>
  </si>
  <si>
    <t>RV02050200362090260</t>
  </si>
  <si>
    <r>
      <t xml:space="preserve">ตามสัญญาเลขที่ PRP6105012420  
เงินสนับสนุนโครงการวิจัย เรื่อง 
การพัฒนาคุณสมบัติทางกายภาพของ
ใบไม้สีทองด้วยการเคลือบน้ำยาง
เพื่อเพิ่มมูลค่าผลิตภัณฑ์ในพื้นที่จังหวัด
ชายแดนภาคใต้ งวดที่ 2
</t>
    </r>
    <r>
      <rPr>
        <b/>
        <sz val="13"/>
        <color theme="1"/>
        <rFont val="TH SarabunPSK"/>
        <family val="2"/>
      </rPr>
      <t>วงเงินตามงบประมาณ 433,400 บาท</t>
    </r>
  </si>
  <si>
    <t>รวมยอดเงินรับรายได้ประเภททุนสนับสนุนเพื่อการวิจัยระหว่างเดือนตุลาคม 2561 - กันยายน 2562 เป็นเงินทั้งสิ้น</t>
  </si>
  <si>
    <t>(นางสาวอุไรวรรณ สุวรรณมณี)</t>
  </si>
  <si>
    <t>(นางสาวศกลวรรณ  ดำนุ้ย)</t>
  </si>
  <si>
    <t>นักวิชาการเงินและบัญชี</t>
  </si>
  <si>
    <t>ทะเบียนคุมเงินทุนวิจัยภายนอก  (เริ่มเก็บข้อมูลวันที่ 22 กันยายน 2557)</t>
  </si>
  <si>
    <t>เลขที่ใบสำคัญทั่วไป</t>
  </si>
  <si>
    <t>PR2-2557:12/6</t>
  </si>
  <si>
    <t>RV02050200357090382</t>
  </si>
  <si>
    <t>คณะเศรษฐศาสตร์ฯ</t>
  </si>
  <si>
    <t>รับเงินโครงการวิจัยทุนจากภายนอก(เรื่องสำรวจความพึงพอใจของประชาชนที่มีต่อผลการดำเนินงานขององค์กรปกครองส่วนท้องถิ่นปี 2556-2560-คณะเศรษฐศาสตร์และบริหารธุรกิจ ตามใบเสร็จเลขที่1319/01-25,27,1318/03-09 ฝากเช็คผ่านธ.กรุงไทย082-4 วันที่ 28/8/57-1/9/57(90%เป็นงบดำเนินงาน=701,100/5%เป็นของกองทุนวิจัย=38,950)</t>
  </si>
  <si>
    <t>PR2-2557:12/7</t>
  </si>
  <si>
    <t>RV02050200357090384</t>
  </si>
  <si>
    <t>รับเงินโครงการวิจัยทุนจากภายนอก(เรื่องสำรวจความพึงพอใจของประชาชนที่มีต่อผลการดำเนินงานขององค์กรปกครองส่วนท้องถิ่นปี 2556-2560-คณะเศรษฐศาสตร์และบริหารธุรกิจ ตามใบเสร็จเลขที่1319/26,28-31,1318/11 ฝากเช็คผ่านธ.กรุงไทย082-4 วันที่ 8/9/57(90%เป็นงบดำเนินงาน=135,000/5%เป็นของกองทุนวิจัย=7,500)</t>
  </si>
  <si>
    <t>PR2-2557:12/8</t>
  </si>
  <si>
    <t>RV02050200357090386</t>
  </si>
  <si>
    <t>รับเงินโครงการวิจัยทุนจากภายนอก(เรื่องสำรวจความพึงพอใจของประชาชนที่มีต่อผลการดำเนินงานขององค์กรปกครองส่วนท้องถิ่นปี 2556-2560-คณะเศรษฐศาสตร์และบริหารธุรกิจ ตามใบเสร็จเลขที่1319/32,34,1318/12,14 ฝากเช็คผ่านธ.กรุงไทย082-4 วันที่ 11/9/57 (งบดำเนินงาน90%=90,000/กองทุนวิจัย5%=5,000)</t>
  </si>
  <si>
    <t>PR2-2557:12/13</t>
  </si>
  <si>
    <t>RV02050200357090447</t>
  </si>
  <si>
    <t>รับเงินโครงการวิจัยทุนจากภายนอก(เรื่องสำรวจความพึงพอใจของประชาชนที่มีต่อผลการดำเนินงานขององค์กรปกครองส่วนท้องถิ่นปี 2556-2560-คณะเศรษฐศาสตร์และบริหารธุรกิจ ตามใบเสร็จเลขที่1319/35-37,1318/15 ฝากเช็คผ่านธ.082-4 วันที่ 23/9/57(90%เป็นงบดำเนินงาน=76,500/5%เป็นของกองทุนวิจัย=4,250)</t>
  </si>
  <si>
    <t>PR2-2558:1/8</t>
  </si>
  <si>
    <t>RV02050200358100115</t>
  </si>
  <si>
    <t>รับเงินโครงการวิจัยทุนจากภายนอก(เรื่องสำรวจความพึงพอใจของประชาชนที่มีต่อผลการดำเนินงานขององค์กรปกครองส่วนท้องถิ่นปี 2556-2560-คณะเศรษฐศาสตร์และบริหารธุรกิจ ตามใบเสร็จเลขที่1319/38-50,1318/16-40,42 ฝากเช็คผ่านธ.082-4 วันที่ 16/10/57(90%เป็นงบดำเนินงาน=672,300/5%เป็นของกองทุนวิจัย=37,350)</t>
  </si>
  <si>
    <t>PR2-2558:1/17</t>
  </si>
  <si>
    <t>RV02050200358110167</t>
  </si>
  <si>
    <t>รับเงินสนับสนุนโครงการวิจัย เรื่องประเมินความพึงพอใจของผู้รับบริการที่ทีต่อการให้บริการขององค์การบริการส่วนตำบลหินตก อ.ร่อนพิบูลย์ จ.นครศรีธรรมราช ตามใบเสร็จ PL2-2558:1/17(เข้าทุนวิจัยภายนอก=22,500,เข้าสถาบันวิจัย=1,250.-)</t>
  </si>
  <si>
    <t>PR2-2558:1/24</t>
  </si>
  <si>
    <t>RV02050200358120028</t>
  </si>
  <si>
    <t>คณะเทคโนโลยี</t>
  </si>
  <si>
    <t>รับเงินสนับสนุนงานวิจัยจากภายนอก เรื่อง โรงงานต้นแบบระบบเซลล์เชื้อเพลิงจุลชีพแบบยูบีเอฟฯ- อ.ชลธิศา สุขเกษม จากสำนักวิจัยและพัฒนา ม.สงขลานครินทร์ โอนผ่านธ.กรุงไทย043-9 วันที่19/11/57=349,988.- ฝากเงินค่าธรรมเนียม 12 บาท เข้า วันที่1/12/57</t>
  </si>
  <si>
    <t>PR2-2558:2/1</t>
  </si>
  <si>
    <t>RV02050200358010083</t>
  </si>
  <si>
    <t>รับเงินทุนวิจัยภายนอก อ.จันทวรรณ น้อยศรี ทุนพัฒนาและวิศวกรรม-สนง.พัฒนาวิทยาศาสตร์และเทคโนโลยีแห่งชาติ เงินโอนผ่านธ.กรุงไทย082-4 วันที่ 8ธค.57(งบดำเนินงาน=145,800.-/กองทุนวิจัยม.ทักษิณ=15,000.-)</t>
  </si>
  <si>
    <t>PR2-2558:2/15</t>
  </si>
  <si>
    <t>RV02050200358020006</t>
  </si>
  <si>
    <t>รับเงินสนันทุนวิจัยโครงการวิจัยและพัฒนาภาครัฐร่วมเอกชนในเชิงพาณิชย์ฯ เรื่อง โรงงานต้นแบบระบบเซลล์เชื้อเพลิงจุลชีพแบบยูบีเอฟฯ ผศ.ดร.ชลธิศา สุขเกษม จากสหกรณ์กองทุนสวนยางบ้านทุ่งแสงทอง จำกัด โอนผ่านธ.กรุงไทย043-9 วันที่4/12/57</t>
  </si>
  <si>
    <t>PL2-2558:1/2</t>
  </si>
  <si>
    <t>RV02050200358040047</t>
  </si>
  <si>
    <t>รับเงินโอนโครงการวิจัยเชิงสำรวจ สำรวจความพึงพอใจของประชาชนต่อผลการดำเนินงานของเทศบาลเมืองเขารูปช้าง-คณะเศรษฐศาสตร์ฯ (เงินเข้าทุนวิจัยภายนอก90%=13,500 บาท และเข้ากองทุนวิจัย5%=750 บาท) ฝากเช็คเข้า ธ.กรุงไทย 082-4 วันที่ 30/3/58</t>
  </si>
  <si>
    <t>PR2-2558:3/18</t>
  </si>
  <si>
    <t>RV02050200358050144</t>
  </si>
  <si>
    <t>รับเงินทุนอุดหนุนการวิจัยจาก สกว.เรื่องการศึกษาความเป็นไปได้ของโรงไฟฟ้าฟาร์มกังหันลมใกล้ชายฝั่งทะเลฯ เฟส1 โอนผ่านธ.กรุง 043-9 วันที่ 17 และ 21 เมย.58 งบประมาณค่าตอบแทนส่วนของมหาวิทยาลัย-สถาบันวิจัยฯ 25%=130,902 บาท</t>
  </si>
  <si>
    <t>PL2-2558:3/27</t>
  </si>
  <si>
    <t>RV02050200358060007</t>
  </si>
  <si>
    <t>รับเงินทุนวิจัยภายนอกโครงการวิจัยเรื่อง การประเมินศักยภาพของพลังงานลมนอกชายฝั่งทะเลและความเป็นไปได้เบื้องต้นของโรงไฟฟ้าฟาร์มกังหันลมนอกชายฝั้งทะเล งวดสุดท้าย-การไฟฟ้าส่วนภูมิภาค PR2-2558:3/27 โอนผ่าน ธ.ไทยพษาณิชย์626-0 (งบดำเนินการวิจัย90%/เข้ากองทุนวิจัย10%)</t>
  </si>
  <si>
    <t>RV02050200358060126</t>
  </si>
  <si>
    <t>รับเงินค่าที่ปรึกษาดำเนินการสำรวจและรวบรวมผลงานวิจัยและพัฒนานวัตกรรมทางการศึกษาฯ โอนฝาก ธ.กรุงไทย 082-4 วันที่8/6/58 (งบดำเนินงาน90%=38,475.- /กองทุนวิจัยม.ทักษิณ5%=2,137.50/ส่วนงานคณะศึกษาศาสตร์5%=2,137.50)</t>
  </si>
  <si>
    <t>PL2-2558:1/4</t>
  </si>
  <si>
    <t>RV02050200358090249</t>
  </si>
  <si>
    <t>รับเงินทุนวิจัยภายนอก เรื่องสำรวจความพึงพอใจของประชาชนที่มีผลต่อการดำเนินงานขององค์กรปกครองส่วนท้องถิ่น โอนผ่าน ธ.กรุงไทย082-4 วันที่10-11 กย.58 เงินเข้าทุนวิจัยภายนอก90,000.-/เข้ากองทุน5,000.-</t>
  </si>
  <si>
    <t>PL1-2558:4/42</t>
  </si>
  <si>
    <t>RV02050200358090368</t>
  </si>
  <si>
    <t>รับเงินทุนวิจัยภายนอก เรื่องสำรวจความพึงพอใจของประชาชนที่มีผลต่อการดำเนินงานขององค์กรปกครองส่วนท้องถิ่น 1 องค์กร เงินเข้าทุนวิจัยภายนอก9,000.-/เข้ากองทุน500.- และเข้าหน่วยงานต้นสังกัด 500.- PL1-2558:4/42</t>
  </si>
  <si>
    <t>PL2-2558:1/5</t>
  </si>
  <si>
    <t>RV02050200358090370</t>
  </si>
  <si>
    <t>รับเงินทุนวิจัยภายนอก เรื่องสำรวจความพึงพอใจของประชาชนที่มีผลต่อการดำเนินงานขององค์กรปกครองส่วนท้องถิ่น 5 องค์กร โอนผ่าน ธ.กรุงไทย082-4 วันที่21 กย.58 เงินเข้าทุนวิจัยภายนอก94,500.-/เข้ากองทุน5,250.- และเงินเข้าส่วนงานคณะเศรษฐศาสตร์ฯ=5,250.- PL2-2558:1/5</t>
  </si>
  <si>
    <t>PR2-2558:5/3</t>
  </si>
  <si>
    <t>RV02050200358090451</t>
  </si>
  <si>
    <t>รับเงินทุนวิจัยภายนอก จ้างสำรวจและรวบรวมผลงานวิจัยและพัฒนานวัตกรรมทางการศึกษาฯ จากสนง.เลขาธิการสภาการศึกษา เงินเข้าทุนวิจัยภายนอก51,300.-/เข้ากองทุน2,850.- และเข้าหน่วยงานต้นสังกัด-คณะศึกษาศาสตร์ 2,850.- PR2-2558:5/3</t>
  </si>
  <si>
    <t>PR2-2558:4/8</t>
  </si>
  <si>
    <t>JV02050200358090174</t>
  </si>
  <si>
    <t>คณะวิทยาการสูขภาพและการกีฬา</t>
  </si>
  <si>
    <t>ปรัปบรุงเงินรับฝาก-คณะวิทยาการสุขภาพและการกีฬา เป็น เงินกองทุนวิจัยมหาวิทยาลัยทักษิณ ตามศธ64.26/2612 ลว.18 กย.58 โครงการวิจัย เรื่อง การประเมินผลโครงการภายใต้งบสร้างเสริมสุขภาพและป้องกันโรค ปี2558 สปสช.</t>
  </si>
  <si>
    <t>RV02050200359100008</t>
  </si>
  <si>
    <t>RV02050200359100086</t>
  </si>
  <si>
    <t>RV02050200359100117</t>
  </si>
  <si>
    <t>RV02050200359100153</t>
  </si>
  <si>
    <t>RV02050200359110095</t>
  </si>
  <si>
    <t>RV02050200359110132</t>
  </si>
  <si>
    <t>RV02050200359110230</t>
  </si>
  <si>
    <t>RV02050200359120190</t>
  </si>
  <si>
    <t>RV02050200359120223</t>
  </si>
  <si>
    <t>RV02050200359120259</t>
  </si>
  <si>
    <t>RV02050200359120311</t>
  </si>
  <si>
    <t>JV02050200359010067</t>
  </si>
  <si>
    <t>RV02050200359010024</t>
  </si>
  <si>
    <t>RV02050200359010077</t>
  </si>
  <si>
    <t>RV02050200359010192</t>
  </si>
  <si>
    <t>RV02050200359010208</t>
  </si>
  <si>
    <t>RV02050200359020205</t>
  </si>
  <si>
    <t>RV02050200359030100</t>
  </si>
  <si>
    <t>RV02050200359030217</t>
  </si>
  <si>
    <t>RV02050200359030282</t>
  </si>
  <si>
    <t>RV02050200359040012</t>
  </si>
  <si>
    <t>RV02050200359040014</t>
  </si>
  <si>
    <t>RV02050200359050045</t>
  </si>
  <si>
    <t>RV02050200359050110</t>
  </si>
  <si>
    <t>RV02050200359050184</t>
  </si>
  <si>
    <t>RV02050200359060072</t>
  </si>
  <si>
    <t>RV02050200359060202</t>
  </si>
  <si>
    <t>RV02050200359060280</t>
  </si>
  <si>
    <t>RV02050200359070366</t>
  </si>
  <si>
    <t>RV02050200359070372</t>
  </si>
  <si>
    <t>RV02050200359080027</t>
  </si>
  <si>
    <t>RV02050200359080342</t>
  </si>
  <si>
    <t>RV02050200359090146</t>
  </si>
  <si>
    <t>RV02050200359090157</t>
  </si>
  <si>
    <t>20/09/2559</t>
  </si>
  <si>
    <t>RV02050200359090401</t>
  </si>
  <si>
    <t>รับเงินโอนทุนวิจัยภายนอก จ้างสำรวจและรวบรวมผลงานวิจัยและพัฒนานวัตกรรมทางการศึกษา จาก สนง.เลขาธิการสภาการศึกษาโดย รศ.ดร.นิรันดร์ จุลทรัพย์ PR2-2559:6/44-45 ธ.กรุงไทย082-4 วันที่16/9/59 เข้าทุนวิจัยภายนอก4,725+262.50=4,987.50 บาท  เข้าคณะศึกษาศาสตร์=262.50 บาท</t>
  </si>
  <si>
    <t>27/09/2559</t>
  </si>
  <si>
    <t>RV02050200359090502</t>
  </si>
  <si>
    <t>28/09/2559</t>
  </si>
  <si>
    <t>RV02050200359090533</t>
  </si>
  <si>
    <t>RV02050200359090539</t>
  </si>
  <si>
    <t>RV02050200359090552</t>
  </si>
  <si>
    <t>29/09/2559</t>
  </si>
  <si>
    <t>RV02050200359090567</t>
  </si>
  <si>
    <t>รับเงินโอนทุนวิจัยภายนอก ทุนอุดหนุนโครงการวิจัยและพัฒนาภาครัฐร่วมเอกชนในเชิงพาณิชย์ ปี59 จากสำนักงานคณะกรรมการการวิจัยแห่งชาติ โดยผศ.ดร.อมรรัตน์ ถนนแก้ว PR2-2559:7/12 โอนผ่านธ.กรุงไทย082-4 วันที่16/9/59 เข้าทุนวิจัยภายนอก 280,000 บาท  ยกเว้นการหักค่าธรรมเนียมบำรุงสถาบันการศึกษา</t>
  </si>
  <si>
    <t>ค่าธรรมเนียมตามประกาศคณะกรรมการบริหารกองทุนวิจัยมหาวิทยาลัยทักษิณ 
เรื่อง การบริหารจัดการทุนอุดหนุนการวิจัยจากแหล่งทุนภายนอก พ.ศ. 2564</t>
  </si>
  <si>
    <t>กรณีแหล่งทุนให้หักค่าธรรมเนียม
ตามระเบียบมหาวิทยาลัย
(10%หรือ16%จากยอดรับทั้งหมด)</t>
  </si>
  <si>
    <r>
      <rPr>
        <b/>
        <u/>
        <sz val="13"/>
        <color theme="1"/>
        <rFont val="Cordia New"/>
        <family val="2"/>
      </rPr>
      <t>ยกเว้น</t>
    </r>
    <r>
      <rPr>
        <b/>
        <sz val="13"/>
        <color theme="1"/>
        <rFont val="Cordia New"/>
        <family val="2"/>
      </rPr>
      <t xml:space="preserve">
ค่าธรรมเนียม
การวิจัย</t>
    </r>
  </si>
  <si>
    <t>PR2-2565:2/13</t>
  </si>
  <si>
    <t>RV00020900065100073</t>
  </si>
  <si>
    <t>อาจารย์ ดร.อภินันท์ เอื้ออังกูร</t>
  </si>
  <si>
    <t>องค์การอ็อกแฟม 
ประเทศไทย</t>
  </si>
  <si>
    <t>PL2-2565:1/8</t>
  </si>
  <si>
    <t>RV00020900065100132</t>
  </si>
  <si>
    <t>ทุนอุดหนุนดำเนินการวิจัยแผนงานวิจัยเรื่อง 
สำรวจความพึงพอใจของประชาชนที่มีผล
ต่อการดำเนินงานขององค์กรปกครอง
ส่วนท้องถิ่น ประจำปีงบประมาณ 
พ.ศ.2561-2564</t>
  </si>
  <si>
    <t>24/11/2564</t>
  </si>
  <si>
    <t>PL2-2565:1/23</t>
  </si>
  <si>
    <t>RV00020900065110139</t>
  </si>
  <si>
    <t>30/11/2564</t>
  </si>
  <si>
    <t>PR2-2565:5/3
-</t>
  </si>
  <si>
    <t>RV00020900065110164
JV00020900065110054</t>
  </si>
  <si>
    <t>สำนักงานการวิจัยแห่งชาติ 
(วช.)</t>
  </si>
  <si>
    <t>PR2-2565:5/7
-</t>
  </si>
  <si>
    <t>RV00020900065110165
JV00020900065110055</t>
  </si>
  <si>
    <t>อาจารย์ ปริยากรณ์ ชูแก้ว</t>
  </si>
  <si>
    <t>PR2-2565:5/6</t>
  </si>
  <si>
    <t>RV00020900065110166</t>
  </si>
  <si>
    <t>ผศ.ดร.ทวนธง ครุฑจ้อน</t>
  </si>
  <si>
    <t>เทศบาลตำบลสะบ้าย้อย</t>
  </si>
  <si>
    <t>05/11/2564</t>
  </si>
  <si>
    <t>PR2-2565:3/34</t>
  </si>
  <si>
    <t>RV00020900065110042</t>
  </si>
  <si>
    <t>DSM Singapore 
Industrial Pte. Ltd.</t>
  </si>
  <si>
    <t>28/01/2564</t>
  </si>
  <si>
    <t>PR2-2564:8/14</t>
  </si>
  <si>
    <t>RV00020900064010342</t>
  </si>
  <si>
    <t>วิทยาลัยการจัดการ
เพื่อการพัฒนา</t>
  </si>
  <si>
    <t>บริษัท ไอ.เอ็น.ดี.คอนซัลแตนท์ จำกัด</t>
  </si>
  <si>
    <t>ค่าธรรมเนียมร้อยละ 10 จากการวิจัยเรื่อง 
การบริหารจัดการขยะมูลฝอยที่มีประสิทธิภาพในพื้นที่จังหวัดพระนครศรีอยุธยา 
วงเงิน 400,000 บาท แต่เบิกจ่ายเพียงงวดที่ 1 
แบ่งจ่าย 200,000 บาท เนื่องจากบริษัทได้
ขอยกเลิกสัญญาการรับทุนวิจัย</t>
  </si>
  <si>
    <t>27/09/2564</t>
  </si>
  <si>
    <t>PR2-2564:21/7</t>
  </si>
  <si>
    <t>RV00020900064090242</t>
  </si>
  <si>
    <t>อ.ดร.จารุวรรณ ทองเนื้อแข็ง</t>
  </si>
  <si>
    <t>สำนักงานสภานโยบายการ
อุดมศึกษา วิทยาศาสตร์ 
วิจัยและนวัตกรรมแห่งชาติ</t>
  </si>
  <si>
    <r>
      <t xml:space="preserve">ตามสัญญาเลขที่ C10F640150 โครงการ
การพัฒนาการเชื่อมโยงการท่องเที่ยวอุทยาน
ธรณีโลกสตูลกับอุทยานธรณีโลกลังกาวี 
ภายใต้แผนงาน การขับเคลื่อนเศรษฐกิจ
ชีวภาพ-เศรษฐกิจหมุนเวียน-เศรษฐกิจสีเขียว 
โครงการย่อยที่ 2 การส่งเสริมการท่องเที่ยว
ตามขีดความสามารถในการรองรับได้ในพื้นที่
อุทยานธรณีโลกสตูล งวดที่ 1
</t>
    </r>
    <r>
      <rPr>
        <b/>
        <sz val="13"/>
        <color theme="1"/>
        <rFont val="Cordia New"/>
        <family val="2"/>
      </rPr>
      <t xml:space="preserve">วงเงินทั้งสิ้น 559,130 บาท </t>
    </r>
  </si>
  <si>
    <t>ปรับปรุง
รายได้
และ
ค่าใช้จ่าย</t>
  </si>
  <si>
    <t>JV00020900064090262</t>
  </si>
  <si>
    <t xml:space="preserve">ปรับปรุงรายได้เพื่อการวิจัยจากแหล่งทุน
ภายนอกคู่กับค่าใช้จายทุนวิจัยภายนอก 
ตามหนังสือสถาบันวิจัยที่ อว8206.04/1753 
ลว.14/10/2564 เรื่องขอแจ้งข้อมูลการรับค่าธรรมเนียมอุดหนุนสถาบันของทุนวิจัยภายนอก ปีงบประมาณ 2564 
(ตามข้อเสนอแนะตรวจสอบภายใน) 
งานวิจัยเรื่อง การบริหารจัดการขยะมูลฝอย
ที่มีประสิทธิภาพในพื้นที่จังหวัดพระนครศรีอยุธยา งวดที่ 1 </t>
  </si>
  <si>
    <t>26/10/2563</t>
  </si>
  <si>
    <t>PL2-2564:1/8</t>
  </si>
  <si>
    <t>RV02050200364100158
RV02050200364100159</t>
  </si>
  <si>
    <t>03/11/2563</t>
  </si>
  <si>
    <t>PL2-2564:1/17</t>
  </si>
  <si>
    <t>RV02050200364110020
RV02050200364110021</t>
  </si>
  <si>
    <t>องค์กรปกครองส่วนท้องถิ่น
จำนวน 9 หน่วยงาน</t>
  </si>
  <si>
    <t>PL2-2563:1/22</t>
  </si>
  <si>
    <t>RV02050200364110027
RV02050200364110028</t>
  </si>
  <si>
    <t>PL2-2564:1/21</t>
  </si>
  <si>
    <t>RV02050200364110029</t>
  </si>
  <si>
    <r>
      <t xml:space="preserve">ทุนอุดหนุนดำเนินการวิจัยแผนงานวิจัยเรื่อง 
สำรวจความพึงพอใจของประชาชนที่มีผล
ต่อการดำเนินงานขององค์กรปกครอง
ส่วนท้องถิ่น ประจำปีงบประมาณ 
พ.ศ.2561-2564 </t>
    </r>
    <r>
      <rPr>
        <b/>
        <sz val="13"/>
        <color theme="1"/>
        <rFont val="Cordia New"/>
        <family val="2"/>
      </rPr>
      <t>(เงินประกันผลงาน)</t>
    </r>
  </si>
  <si>
    <t>PL2-2564:1/30</t>
  </si>
  <si>
    <t>RV00020900064110061
RV00020900064110062</t>
  </si>
  <si>
    <t>30/11/2563</t>
  </si>
  <si>
    <t>PL2-2564:1/45</t>
  </si>
  <si>
    <t>RV00020900064110178</t>
  </si>
  <si>
    <t>PL2-2564:1/44</t>
  </si>
  <si>
    <t>RV00020900064110180</t>
  </si>
  <si>
    <t>02/12/2563</t>
  </si>
  <si>
    <t>PR2-2564:4/36</t>
  </si>
  <si>
    <t>RV00020900064120013</t>
  </si>
  <si>
    <t>ผศ.ดร.ศันสนีย์ จันทร์อานุภาพ</t>
  </si>
  <si>
    <t>มหาวิทยาลัยราชภัฎยะลา 
ภายใต้โครงการวิจัยและ
นวัตกรรมเพื่อถ่ายทอด
เทคโนโลยีสู่ชุมชนฐานราก</t>
  </si>
  <si>
    <r>
      <t xml:space="preserve">เงินสนับสนุนทุนวิจัย 1 โครงการ เรื่อง ผู้สูงอายุ
กับการลดความเสี่ยงจากการแพร่ระบาดของ
โรคติดเชื้อโควิด-19 (Elderly and COVID-19 Pandemic Risk Reduction) 
</t>
    </r>
    <r>
      <rPr>
        <b/>
        <sz val="13"/>
        <color theme="1"/>
        <rFont val="Cordia New"/>
        <family val="2"/>
      </rPr>
      <t xml:space="preserve">เป็นเงินทั้งสิ้น 152,000.00 บาท </t>
    </r>
    <r>
      <rPr>
        <sz val="13"/>
        <color theme="1"/>
        <rFont val="Cordia New"/>
        <family val="2"/>
      </rPr>
      <t xml:space="preserve">
</t>
    </r>
    <r>
      <rPr>
        <b/>
        <sz val="13"/>
        <color rgb="FFFF0000"/>
        <rFont val="Cordia New"/>
        <family val="2"/>
      </rPr>
      <t>(ไม่หักค่าธรรมเนียมวิจัยร้อยละ 10)</t>
    </r>
  </si>
  <si>
    <t>09/12/2563</t>
  </si>
  <si>
    <t>PR2-2564:5/24</t>
  </si>
  <si>
    <t>RV00020900064120104</t>
  </si>
  <si>
    <t>รศ.ดร.รุ่งรัชดาพร เวหะชาติ</t>
  </si>
  <si>
    <t>สำนักงานเลขาธิการ
สภาการศึกษา</t>
  </si>
  <si>
    <t>ตามสัญญาจ้างผู้เชี่ยวชาญรายบุคคลหรือ
จ้างบริษัทที่ปรึกษา ดำเนินการสำรวจและ
ติดตามการดำเนินตามมาตรฐานสถานพัฒนา
เด็กปฐมวัยแห่งชาติประจำปีงบประมาณ2563
ของสถานพัฒนาเด็กปฐมวัย งวดที่ 3
วงเงินงบประมาณทั้งสิ้น 2,000,000.00 บาท</t>
  </si>
  <si>
    <t>14/12/2563</t>
  </si>
  <si>
    <t>PR2-2564:5/27</t>
  </si>
  <si>
    <t>RV00020900064120112</t>
  </si>
  <si>
    <t>อ.ดร.ทวนธง ครุฑจ้อน</t>
  </si>
  <si>
    <t xml:space="preserve">องค์การบริหารส่วน
จังหวัดภูเก็ต </t>
  </si>
  <si>
    <t>ตามสัญญาจ้างผู้เชี่ยวชาญรายบุคคลหรือ
จ้างบริษัทที่ปรึกษา เลขที่ 0003/2563 
โครงการสำรวจความพึงพอใจของผู้รับบริการ
ที่มีต่อการให้บริการสาธารณะขององค์การบริการส่วนจังหวัดภูเก็ต ประจำปีงบประมาณ พ.ศ.2563 วงเงินตามสัญญา 79,092.00 บาท</t>
  </si>
  <si>
    <t>PL2-2564:2/9</t>
  </si>
  <si>
    <t>RV00020900064120115</t>
  </si>
  <si>
    <t>PL2-2564:2/8</t>
  </si>
  <si>
    <t>RV00020900064120226</t>
  </si>
  <si>
    <t>25/12/2563</t>
  </si>
  <si>
    <t>PL2-2564:2/31</t>
  </si>
  <si>
    <t>RV00020900064120245</t>
  </si>
  <si>
    <t>PL2-2564:2/29</t>
  </si>
  <si>
    <t>RV00020900064120246</t>
  </si>
  <si>
    <t>06/01/2564</t>
  </si>
  <si>
    <t>PL2-2564:2/41</t>
  </si>
  <si>
    <t>RV00020900064010028</t>
  </si>
  <si>
    <t>07/01/2564</t>
  </si>
  <si>
    <t>PR2-2564:6/43</t>
  </si>
  <si>
    <t>RV00020900064010067</t>
  </si>
  <si>
    <t>เงินสนับสนุนเพื่อการวิจัย เรื่อง การศึกษารูปแบบการจัดจำหน่ายสัตว์น้ำเศรษฐกิจที่
โตไม่ได้ขนาดในประเทศไทย งวดที่ 3
วงเงินงบประมาณทั้งสิ้น 653,400 บาท</t>
  </si>
  <si>
    <t>11/01/2564</t>
  </si>
  <si>
    <t>PR2-2564:7/14</t>
  </si>
  <si>
    <t>RV00020900064010138</t>
  </si>
  <si>
    <t>ตามสัญญาจ้างผู้เชี่ยวชาญรายบุคคลหรือ
จ้างบริษัทที่ปรึกษา ดำเนินการสำรวจและ
ติดตามการดำเนินตามมาตรฐานสถานพัฒนา
เด็กปฐมวัยแห่งชาติประจำปีงบประมาณ2563
ของสถานพัฒนาเด็กปฐมวัย งวดที่ 4
วงเงินงบประมาณทั้งสิ้น 2,000,000.00 บาท</t>
  </si>
  <si>
    <t>PR2-2564:7/15</t>
  </si>
  <si>
    <t>ตามสัญญาจ้างผู้เชี่ยวชาญรายบุคคลหรือ
จ้างบริษัทที่ปรึกษา ดำเนินการสำรวจและ
ติดตามการดำเนินตามมาตรฐานสถานพัฒนา
เด็กปฐมวัยแห่งชาติประจำปีงบประมาณ2563
ของสถานพัฒนาเด็กปฐมวัย (เงินประกันงวด4)
วงเงินงบประมาณทั้งสิ้น 2,000,000.00 บาท</t>
  </si>
  <si>
    <t>15/01/2564</t>
  </si>
  <si>
    <t>PL2-2564:3/10</t>
  </si>
  <si>
    <t>RV00020900064010182</t>
  </si>
  <si>
    <t>02/02/2564</t>
  </si>
  <si>
    <t>PR2-2564:8/23</t>
  </si>
  <si>
    <t>RV00020900064020032</t>
  </si>
  <si>
    <t>03/02/2564</t>
  </si>
  <si>
    <t>PR2-2564:9/9</t>
  </si>
  <si>
    <t>RV00020900064020042</t>
  </si>
  <si>
    <t>ตามสัญญาจ้างผู้เชี่ยวชาญรายบุคคลหรือ
จ้างบริษัทที่ปรึกษา ดำเนินการสำรวจและ
ติดตามการดำเนินตามมาตรฐานสถานพัฒนา
เด็กปฐมวัยแห่งชาติประจำปีงบประมาณ2563
ของสถานพัฒนาเด็กปฐมวัย (เงินประกันงวด3)
วงเงินงบประมาณทั้งสิ้น 2,000,000.00 บาท</t>
  </si>
  <si>
    <t>16/02/2564</t>
  </si>
  <si>
    <t>PR2-2564:9/45</t>
  </si>
  <si>
    <t>RV00020900064020123</t>
  </si>
  <si>
    <t>ตามสัญญาจ้างผู้เชี่ยวชาญรายบุคคลหรือ
จ้างบริษัทที่ปรึกษา ดำเนินการสำรวจและ
ติดตามการดำเนินตามมาตรฐานสถานพัฒนา
เด็กปฐมวัยแห่งชาติประจำปีงบประมาณ2563
ของสถานพัฒนาเด็กปฐมวัย (เงินประกันงวด2)
วงเงินงบประมาณทั้งสิ้น 2,000,000.00 บาท</t>
  </si>
  <si>
    <t>PR2-2564:9/44</t>
  </si>
  <si>
    <t>ตามสัญญาจ้างผู้เชี่ยวชาญรายบุคคลหรือ
จ้างบริษัทที่ปรึกษา ดำเนินการสำรวจและ
ติดตามการดำเนินตามมาตรฐานสถานพัฒนา
เด็กปฐมวัยแห่งชาติประจำปีงบประมาณ2563
ของสถานพัฒนาเด็กปฐมวัย (เงินประกันงวด1)
วงเงินงบประมาณทั้งสิ้น 2,000,000.00 บาท</t>
  </si>
  <si>
    <t>22/02/2564</t>
  </si>
  <si>
    <t>PR2-2564:10/8</t>
  </si>
  <si>
    <t>RV00020900064020166</t>
  </si>
  <si>
    <t>สำนักงานปลัดกระทรวง
การอุดมศึกษา วิทยาศาสตร์ 
วิจัยและนวัตกรรม</t>
  </si>
  <si>
    <r>
      <t xml:space="preserve">ตามบันทึกข้อตกลงความร่วมมือ โครงการ
พัฒนาสื่อต้นแบบ ภายใต้โครงการพัฒนา
คุณภาพการศึกษาและการพัฒนาท้องถิ่น 
โดยมีสถาบันอุดมศึกษาเป็นพี่เลี้ยง 
</t>
    </r>
    <r>
      <rPr>
        <b/>
        <sz val="13"/>
        <color theme="1"/>
        <rFont val="Cordia New"/>
        <family val="2"/>
      </rPr>
      <t xml:space="preserve"> วงเงินงบประมาณทั้งสิ้น 70,000 บาท </t>
    </r>
  </si>
  <si>
    <t>01/03/2564</t>
  </si>
  <si>
    <t>PR2-2564:10/26</t>
  </si>
  <si>
    <t>RV00020900064030005</t>
  </si>
  <si>
    <t>ผศ.เสริมศักดิ์ ขุนพล</t>
  </si>
  <si>
    <t>สำนักงานกองทุนสนับสนุน
การสร้างเสริมสุขภาพ (สสส.)
ศูนย์วิจัยปัญหาสุรา</t>
  </si>
  <si>
    <r>
      <t xml:space="preserve">ตามข้อตกลงดำเนินงานสร้างเสริมสุขภาพ 
เลขที่ 61-02029-0042 โครงการให้เหล้า
เท่ากับแช่ง : การสร้างสรรค์ การรับรู้ และ
สนองตอบของสื่อภาพยนต์รณรงค์งดดื่ม
สุรา งวดที่ 2 
</t>
    </r>
    <r>
      <rPr>
        <b/>
        <sz val="13"/>
        <color theme="1"/>
        <rFont val="Cordia New"/>
        <family val="2"/>
      </rPr>
      <t>งบประมาณทั้งสิ้น 442,200 บ.</t>
    </r>
    <r>
      <rPr>
        <sz val="13"/>
        <color theme="1"/>
        <rFont val="Cordia New"/>
        <family val="2"/>
      </rPr>
      <t xml:space="preserve"> </t>
    </r>
  </si>
  <si>
    <t>11/03/2564</t>
  </si>
  <si>
    <t>PL2-2564:4/3</t>
  </si>
  <si>
    <t>RV00020900064030119</t>
  </si>
  <si>
    <t>ทุนอุดหนุนดำเนินการวิจัยแผนงานวิจัย
เรื่อง การสำรวจความพึงพอใจของผู้รับบริการสำหรับการประเมินประสิทธิภาพและประสิทธิผลการปฏิบัติราชการขององค์กรปกครองส่วนท้องถิ่น ประจำปีงบประมาณ 
พ.ศ.2564</t>
  </si>
  <si>
    <t>17/03/2564</t>
  </si>
  <si>
    <t>PR2-2564:12/15</t>
  </si>
  <si>
    <t>RV00020900064030153</t>
  </si>
  <si>
    <t>สถาบันส่งเสริมการสอน
วิทยาศาสตร์และเทคโนโลยี 
(สสวท.)</t>
  </si>
  <si>
    <r>
      <t xml:space="preserve">ทุนอุดหนุนโครงการเพิ่มศักยภาพครูให้มี
สมรรถนะของครูยุคใหม่สำหรับการเรียนรู้
ศตวรรษที่ 21  เรื่อง การพัฒนาศูนย์การเรียนรู้
ฐานสมรรถนะวิทยาศาสตร์ คณิตศาสตร์และ
เทคโนโลยี (SMT) สู่อาชีพของเยาวชนให้มีวิถี
ชีวิตโดยใช้ปรัชญาเศรษฐกิจพอเพียง 
พื้นที่เกาะหลีเป๊ะ 
</t>
    </r>
    <r>
      <rPr>
        <b/>
        <sz val="13"/>
        <color theme="1"/>
        <rFont val="Cordia New"/>
        <family val="2"/>
      </rPr>
      <t>งบประมาณทั้งสิ้น 1,000,000 บาท</t>
    </r>
  </si>
  <si>
    <t>24/03/2564</t>
  </si>
  <si>
    <t>PR2-2564:13/9</t>
  </si>
  <si>
    <t>RV00020900064030268</t>
  </si>
  <si>
    <t>อาจารย์วีณา ลีลาประเสริฐศิลป์</t>
  </si>
  <si>
    <t>สถาบันการอาชีวศึกษา
ภาคใต้ 3 สำนักงาน
คณะกรรมการการ
อาชีวศึกษา 
กระทรวงศึกษาธิการ</t>
  </si>
  <si>
    <r>
      <t xml:space="preserve">ตามบันทึกข้อตกลงจ้าง เลขที่ งปม.13/2563
จ้างให้ปฏิบัติงานในโครงการพัฒนาศักยภาพ
การรับรู้ด้านการจัดการศึกษาของสถาบันการ
อาชีวศึกษาภาคใต้ 3 เพื่อรองรับการพัฒนา
พื้นที่ระเบียงเศรษฐกิจภาคใต้อย่างยั่งยืน 
โครงการย่อย : งานวิจัยและพัฒนาหลักสูตร
ปริญญาตรี สาขาการจัดการโลจิสติกส์ 
</t>
    </r>
    <r>
      <rPr>
        <b/>
        <sz val="13"/>
        <color theme="1"/>
        <rFont val="Cordia New"/>
        <family val="2"/>
      </rPr>
      <t>โดยนำส่งเพียงเงินค่าธรรมเนียมการวิจัย
ร้อยละ 10 จากวงเงินงบประมาณทั้งสิ้น 
240,000 บาท</t>
    </r>
  </si>
  <si>
    <t>23/04/2564</t>
  </si>
  <si>
    <t>เล่มที่ 1017
เลขที่ 35</t>
  </si>
  <si>
    <t>RV00020900064040145</t>
  </si>
  <si>
    <t>องค์การบริหารส่วน
จังหวัดภูเก็ต</t>
  </si>
  <si>
    <r>
      <t xml:space="preserve">ตามสัญญาจ้างผู้เชี่ยวชาญรายบุคคลหรือ
จ้างบริษัทที่ปรึกษา เลขที่ 0004/2564 
โครงการสำรวจความพึงพอใจของผู้รับบริการ
ที่มีต่อการให้บริการสาธารณะขององค์การ
บริการส่วนจังหวัดภูเก็ต ประจำปีงบประมาณ พ.ศ.2564 งวดที่ 1
</t>
    </r>
    <r>
      <rPr>
        <b/>
        <sz val="13"/>
        <color theme="1"/>
        <rFont val="Cordia New"/>
        <family val="2"/>
      </rPr>
      <t/>
    </r>
  </si>
  <si>
    <t>27/04/2564</t>
  </si>
  <si>
    <t>เล่มที่ 1017
เลขที่ 38</t>
  </si>
  <si>
    <t>RV00020900064040151</t>
  </si>
  <si>
    <t>อ.ดร.อภิรัตน์ดา ทองแกมแก้ว</t>
  </si>
  <si>
    <t>สถาบันทดสอบทาง
การศึกษาแห่งชาติ 
(องค์การมหาชน)</t>
  </si>
  <si>
    <r>
      <t xml:space="preserve">ตามใบสั่งจ้างเลขที่ สทศ.326/2563  สำหรับ
การจ้างการศึกษาวิจัยการออกแบบและ
พัฒนาหลักสูตรบูรณาการกับโครงการ
พระราชดำริฯ ที่เน้นกระบวนการจัดการเรียนรู้
และการวัด และประเมินผล (โรงเรียนตำรวจ
ตระเวนชายแดนบ้านชายควน) งวดที่ 1 
</t>
    </r>
    <r>
      <rPr>
        <b/>
        <sz val="13"/>
        <color theme="1"/>
        <rFont val="Cordia New"/>
        <family val="2"/>
      </rPr>
      <t>งบสนับสนุนจำนวน 201,440 บาท</t>
    </r>
  </si>
  <si>
    <t>06/05/2564</t>
  </si>
  <si>
    <t>เล่มที่ 1100 
เลขที่ 43</t>
  </si>
  <si>
    <t>RV00020900064050031</t>
  </si>
  <si>
    <t>ศูนย์ศึกษาปัญหา
การเสพติด</t>
  </si>
  <si>
    <r>
      <t xml:space="preserve">ตามข้อตกลงดำเนินงานสร้างเสริมสุขภาพ
เลขที่ 62-01619-0008 โครงการการสร้างสรรค์
สื่อรณรงค์แบบมีส่วนร่วมเพื่อสร้างความเข้าใจ
และลดปัญญาการเสพน้ำกระท่อมในกลุ่ม
เยาวชนพื้นที่เสี่ยงของจังหวัดสงขลา 
งวดที่ 2-3 </t>
    </r>
    <r>
      <rPr>
        <b/>
        <sz val="13"/>
        <color theme="1"/>
        <rFont val="Cordia New"/>
        <family val="2"/>
      </rPr>
      <t xml:space="preserve">วงเงินทั้งสิ้น 130,900 บาท </t>
    </r>
  </si>
  <si>
    <t>13/05/2564</t>
  </si>
  <si>
    <t>เล่มที่ 1101 
เลขที่ 13</t>
  </si>
  <si>
    <t>RV00020900064050065</t>
  </si>
  <si>
    <t>สำนักงานกองทุน
สนับสนุนการสร้างเสริม
สุขภาพ (สสส.) ภายใต้
โครงการศูนย์ศึกษา
ปัญหาสุรา (ศวส.)</t>
  </si>
  <si>
    <r>
      <t xml:space="preserve">ตามข้อตกลงดำเนินงานสร้างเสริมสุขภาพ 
เลขที่ 61-02029-0092 โครงการรูปแบบการ
นำเสนอและผลสะท้อนกลับของโฆษณาตรา
เสมือนธุรกิจเครื่องดื่มแอลกอฮอล์ใน
ประเทศไทย งวดที่ 1 
</t>
    </r>
    <r>
      <rPr>
        <b/>
        <sz val="13"/>
        <color theme="1"/>
        <rFont val="Cordia New"/>
        <family val="2"/>
      </rPr>
      <t xml:space="preserve">วงเงินทั้งสิ้น 192,500 บาท </t>
    </r>
  </si>
  <si>
    <t>07/06/2564</t>
  </si>
  <si>
    <t>เล่มที่ 1102 
เลขที่ 47</t>
  </si>
  <si>
    <t>RV00020900064060032</t>
  </si>
  <si>
    <t>29/06/2564</t>
  </si>
  <si>
    <t>เล่มที่ 1103 
เลขที่ 32</t>
  </si>
  <si>
    <t>RV00020900064060113</t>
  </si>
  <si>
    <t>เครือข่ายอุดมศึกษา
ภาคใต้ตอนล่าง</t>
  </si>
  <si>
    <r>
      <t xml:space="preserve">ทุนอุดหนุนดำเนินการวิจัยแผนงานวิจัยเรื่อง 
การสร้างชุมชนแห่งการเรียนรู้ครูประถมศึกษา 
เพื่อการพัฒนาทักษะการอ่านอกเขียนได้ 
การอ่านเชิงวิเคราะห์และจริยธรรม ด้านวินัย 
ด้านจิตอาสา เสียสละ และเห็นอก เห็นใจผู้อื่น 
โดยใช้บทอ่านหนังสือของพ่อ สำหรับเด็กศึกษา 
(พระบาทสมเด็จพระปรมินทรภูมิพล- อดุลยเดช 
รัชกาลที่ 9) ในจังหวัดสงขลาและพัทลุง งวดที่ 1 
</t>
    </r>
    <r>
      <rPr>
        <b/>
        <sz val="13"/>
        <color theme="1"/>
        <rFont val="Cordia New"/>
        <family val="2"/>
      </rPr>
      <t>วงเงินทั้งสิน 550,000 บาท</t>
    </r>
  </si>
  <si>
    <t>เล่มที่ 1103 
เลขที่ 33</t>
  </si>
  <si>
    <t>RV00020900064060115</t>
  </si>
  <si>
    <t>คณะเศรษฐศาสตร์และ
บริหารธุรกิจ</t>
  </si>
  <si>
    <r>
      <t xml:space="preserve">เงินค่าธรรมเนียม ร้อยละ 10 ตามระเบียบ
คณะกรรมการการเงินและทรัพย์สิน ว่าด้วย
การบริหารจัดการทุนอุดหนุนการวิจัยจาก
แหล่งทุนภายนอก พ.ศ.2557 สำหรับทุน
สนับสนุน เรื่อง กระบวนการเพิ่มมูลค่านา
อินทรีย์: น้ำผึ้งดอกข้าวและน้ำผึ้งโพรงของ
เครือข่ายชาวนาและเยาวชนนาอินทรีย์ 
บ้านละหา อำเภอแว้ง จังหวัดนราธิวาส </t>
    </r>
    <r>
      <rPr>
        <b/>
        <sz val="13"/>
        <color theme="1"/>
        <rFont val="Cordia New"/>
        <family val="2"/>
      </rPr>
      <t>งบประมาณทั้งสิ้น 352,100 บาท</t>
    </r>
  </si>
  <si>
    <t>06/07/2564</t>
  </si>
  <si>
    <t>PR2-2564:15/41</t>
  </si>
  <si>
    <t>RV00020900064070082</t>
  </si>
  <si>
    <t>ผศ.ดร.แจ่มจันทร์ เพชรศิริ</t>
  </si>
  <si>
    <t>บริษัท เซาท์เทอร์น ซีฟูด 
โปรดักส์ จำกัด</t>
  </si>
  <si>
    <r>
      <t xml:space="preserve">กรณีรับทุนวิจัยจากกองทุนวิจัยมหาวิทยาลัย
ทักษิณ ประจำปีงบประมาณ2564 แต่ร่วมทุน
กับบริษัทภายนอก ประเภททุนต่อยอดงานวิจัย
และนวัตกรรมในเชิงพาณิชย์ เรื่อง อาหารปลา
สำเร็จรูปโปรตีนสูงจากเศษเหลือจากการแปร
รูปปลาทะเล 
</t>
    </r>
    <r>
      <rPr>
        <b/>
        <sz val="13"/>
        <color rgb="FFFF0000"/>
        <rFont val="Cordia New"/>
        <family val="2"/>
      </rPr>
      <t>(กรณีร่วมทุนจากภายนอกจะไม่มีการหักค่าธรรมเนียมวิจัย)</t>
    </r>
  </si>
  <si>
    <t>19/08/2564</t>
  </si>
  <si>
    <t>เล่มที่ 1108
เลขที่ 26</t>
  </si>
  <si>
    <t>RV00020900064080110</t>
  </si>
  <si>
    <t>นางสาวศิรดา นวลประดิษฐ์</t>
  </si>
  <si>
    <t>สำนักงานปลัดกระทรวง
อุดมศึกษาวิทยาศาสตร์ 
วิจัยและนวัตกรรม</t>
  </si>
  <si>
    <r>
      <t xml:space="preserve">โครงการทุนพัฒนาศักยภาพในการทำงาน
วิจัยของอาจารย์รุ่นใหม่ ปีงบประมาณ 2564 : 
สัญญาเลขที่ RGNS 63-085 งานวิจัยเรื่อง 
ประสิทธิภาพการลงทุนของกิจการกลุ่ม
อุตสาหกรรมเป้าหมายในตลาดหลักทรัพย์
แห่งประเทศไทย : บทบาทการควบตำแหน่ง
ของผู้บริหารและคุณภาพรายงานทางการเงิน 
</t>
    </r>
    <r>
      <rPr>
        <b/>
        <sz val="13"/>
        <color theme="1"/>
        <rFont val="Cordia New"/>
        <family val="2"/>
      </rPr>
      <t>งบประมาณทั้งสิ้น 600,000.00 บาท</t>
    </r>
    <r>
      <rPr>
        <sz val="13"/>
        <color theme="1"/>
        <rFont val="Cordia New"/>
        <family val="2"/>
      </rPr>
      <t xml:space="preserve"> </t>
    </r>
  </si>
  <si>
    <t>30/08/2564</t>
  </si>
  <si>
    <t>PR2-2564:18/15</t>
  </si>
  <si>
    <t>RV00020900064080192</t>
  </si>
  <si>
    <r>
      <t xml:space="preserve">ตามสัญญาจ้างผู้เชี่ยวชาญรายบุคคลหรือ
จ้างบริษัทที่ปรึกษา ดำเนินการโครงการ
ติดตามการดำเนินงานตามมาตรฐานสถาน
พัฒนาเด็กปฐมวัยแห่งชาติ ประจำปี 2564 
โดยวิธีเฉพาะเจาะจง งวดที่ 2
</t>
    </r>
    <r>
      <rPr>
        <b/>
        <sz val="13"/>
        <color theme="1"/>
        <rFont val="Cordia New"/>
        <family val="2"/>
      </rPr>
      <t>วงเงินทั้งสิ้น 1,500,000 บาท</t>
    </r>
  </si>
  <si>
    <t>PR2-2564:18/16</t>
  </si>
  <si>
    <t>RV00020900064080193</t>
  </si>
  <si>
    <t>ผศ.ดร.ทวนธง ครฑจ้อน</t>
  </si>
  <si>
    <t>สำนักงานปลัดกระทรวงการอุดมศึกษา วิทยาศาสตร์ วิจัยและนวัตกรรม</t>
  </si>
  <si>
    <r>
      <t xml:space="preserve">บันทึกข้อตกลงความร่วมมือโครงการส่งเสริม
การเลี้ยงปศุสัตว์ภาคใต้ชายแดน (การใช้เทคโนโลยีและนวัตกรรมยกระดับมาตรฐาน
การผลิตและพัฒนาศักยภาพการพัฒนาผลิตภัณฑ์ปศุสัตว์สู่เชิงพาณิชย์ ประจำปีงบประมาณ 2564 
</t>
    </r>
    <r>
      <rPr>
        <b/>
        <sz val="13"/>
        <color theme="1"/>
        <rFont val="Cordia New"/>
        <family val="2"/>
      </rPr>
      <t xml:space="preserve">วงเงินตามสัญญา 1,210,100 บาท </t>
    </r>
  </si>
  <si>
    <t>16/09/2564</t>
  </si>
  <si>
    <t>PL2-2564:4/33</t>
  </si>
  <si>
    <t>RV00020900064090129</t>
  </si>
  <si>
    <t>28/09/2564</t>
  </si>
  <si>
    <t>PL2-2564:4/36</t>
  </si>
  <si>
    <t>RV00020900064090275</t>
  </si>
  <si>
    <t>29/09/2564</t>
  </si>
  <si>
    <t>30/09/2564</t>
  </si>
  <si>
    <t>PR2-2564:21/29</t>
  </si>
  <si>
    <t>RV00020900064090287</t>
  </si>
  <si>
    <r>
      <t xml:space="preserve">ตามสัญญาจ้างผู้เชี่ยวชาญรายบุคคลหรือ
จ้างบริษัทที่ปรึกษา ดำเนินการโครงการ
ติดตามการดำเนินงานตามมาตรฐานสถาน
พัฒนาเด็กปฐมวัยแห่งชาติ งวดที่ 3
</t>
    </r>
    <r>
      <rPr>
        <b/>
        <sz val="13"/>
        <color theme="1"/>
        <rFont val="Cordia New"/>
        <family val="2"/>
      </rPr>
      <t xml:space="preserve">วงเงินทั้งสิ้น 1,500,000 บาท </t>
    </r>
  </si>
  <si>
    <t>PR2-2564:22/33</t>
  </si>
  <si>
    <t>RV00020900064090351</t>
  </si>
  <si>
    <t>สำนักงานคณะกรรมการ
ส่งเสริมวิทยาศาสตร์ วิจัย
และนวัตกรรม (สกสว.)</t>
  </si>
  <si>
    <t xml:space="preserve">เงินงวดพิเศษ ก . ตามสัญญาเลขที่ 
RDG5610014 เรื่อง การเคลื่อนย้ายแรงงาน
ไทยระดับทักษะสูงจากจังหวัดชายแดน
ภาคใต้ไปประเทศมาเลเซีย </t>
  </si>
  <si>
    <t>PR2-2564:22/34</t>
  </si>
  <si>
    <t>RV00020900064090353</t>
  </si>
  <si>
    <t>อ.ดร.เสาวรส ยิ่งวรรณะ</t>
  </si>
  <si>
    <t xml:space="preserve">เงินงวดพิเศษ ก . ตามสัญญาเลขที่ 
RDG6240039 เรื่อง การพัฒนาความสามารถ
ของครูในการประเมินเพื่อพัฒนาทักษะใน
ศตวรรษที่ 21 ของนักเรียน </t>
  </si>
  <si>
    <t>รายได้ค้างรับ</t>
  </si>
  <si>
    <t>JV00020900064090207</t>
  </si>
  <si>
    <t>องค์กรปกครองส่วนท้องถิ่น
จำนวน 115 หน่วยงาน</t>
  </si>
  <si>
    <t>JV00020900064090208</t>
  </si>
  <si>
    <t xml:space="preserve">ทุนอุดหนุนดำเนินการวิจัยแผนงานวิจัยเรื่อง 
การสำรวจความพึงพอใจของผู้รับบริการ
สำหรับการประเมินประสิทธิภาพและ
ประสิทธิผลการปฏิบัติราชการขององค์กร
ปกครองส่วนท้องถิ่น ประจำปีงบประมาณ 
พ.ศ.2564 </t>
  </si>
  <si>
    <t>JV00020900064090210</t>
  </si>
  <si>
    <t>ผศ.เจษฎา ทองขาว</t>
  </si>
  <si>
    <t>กรมคุ้มครองสิทธิและ
เสรีภาพ กระทรวงยุติธรรม</t>
  </si>
  <si>
    <r>
      <t xml:space="preserve">ตามสัญญาจ้างที่ปรึกษา เลขที่ 23/2564  
จ้างที่ปรึกษาปฏิบัติงานตามโครงการส่งเสริม
สิทธิเสรีภาพและสิทธิมนุษยชนในพื้นที่จังหวัด
ชายแดนภาคใต้ กิจกรรมศึกษาและสรุปผล
การเรียนรู้ด้านสิทธิมนุษยชนที่สอดคล้องกับ
บริบทการศึกษาพหุวัฒนธรรมในพื้นที่จังหวัด
ชายแดนภาคใต้ สำหรับค่าจ้างล่วงหน้า
</t>
    </r>
    <r>
      <rPr>
        <b/>
        <sz val="13"/>
        <color theme="1"/>
        <rFont val="Cordia New"/>
        <family val="2"/>
      </rPr>
      <t xml:space="preserve">งบประมาณทั้งสิ้น 499,444 บาท </t>
    </r>
  </si>
  <si>
    <t>JV00020900064090211</t>
  </si>
  <si>
    <r>
      <t xml:space="preserve">ตามสัญญาจ้างที่ปรึกษา เลขที่ 23/2564  
จ้างที่ปรึกษาปฏิบัติงานตามโครงการส่งเสริม
สิทธิเสรีภาพและสิทธิมนุษยชนในพื้นที่จังหวัด
ชายแดนภาคใต้ กิจกรรมศึกษาและสรุปผล
การเรียนรู้ด้านสิทธิมนุษยชนที่สอดคล้องกับ
บริบทการศึกษาพหุวัฒนธรรมในพื้นที่จังหวัด
ชายแดนภาคใต้ งวดที่ 1
</t>
    </r>
    <r>
      <rPr>
        <b/>
        <sz val="13"/>
        <color theme="1"/>
        <rFont val="Cordia New"/>
        <family val="2"/>
      </rPr>
      <t xml:space="preserve">งบประมาณทั้งสิ้น 499,444 บาท </t>
    </r>
  </si>
  <si>
    <t xml:space="preserve">ปรับปรุงรายได้เพื่อการวิจัยจากแหล่งทุนภายนอกคู่กับค่าใช้จายทุนวิจัยภายนอก 
ตามหนังสือสถาบันวิจัยที่ อว8206.04/1753 
ลว.14/10/2564 เรื่องขอแจ้งข้อมูลการรับค่าธรรมเนียมอุดหนุนสถาบันของทุนวิจัยภายนอก ปีงบประมาณ 2564 
(ตามข้อเสนอแนะตรวจสอบภายใน) 
สำหรับโครงการพัฒนาศักยภาพการรับรู้
ด้านการจัดการศึกษาของสถาบันการอาชีวศึกษาภาคใต้ 3 เพื่อรองรับการพัฒนาพื้นที่ระเบียงเศรษฐกิจภาคใต้อย่างยั่งยืน โครงการย่อย : งานวิจัยและพัฒนาหลักสูตรปริญญาตรี สาขาการจัดการโลจิสติกส์ </t>
  </si>
  <si>
    <t xml:space="preserve">สำนักงานการวิจัยแห่งชาติ (วช.) </t>
  </si>
  <si>
    <t xml:space="preserve">ปรับปรุงรายได้เพื่อการวิจัยจากแหล่งทุนภายนอกคู่กับค่าใช้จายทุนวิจัยภายนอก 
ตามหนังสือสถาบันวิจัยที่ อว8206.04/1753 
ลว.14/10/2564 เรื่องขอแจ้งข้อมูลการรับค่าธรรมเนียมอุดหนุนสถาบันของทุนวิจัยภายนอก ปีงบประมาณ 2564 
(ตามข้อเสนอแนะตรวจสอบภายใน) 
งานวิจัยเรื่อง กระบวนการเพิ่มมูลค่านา
อินทรีย์: น้ำผึ้งดอกข้าวและน้ำผึ้งโพรงของเครือข่ายชาวนาและเยาวชนนาอินทรีย์ 
บ้านละหา อำเภอแว้ง จังหวัดนราธิวาส งบประมาณทั้งสิ้น 352,100 บาท </t>
  </si>
  <si>
    <t>12/11/2563</t>
  </si>
  <si>
    <t>PR2-2564:3/30</t>
  </si>
  <si>
    <t>RV00020900064110053</t>
  </si>
  <si>
    <t>อาจารย์ ดร.การะเกด แก้วใหญ่</t>
  </si>
  <si>
    <t>สำนักงานพัฒนา
วิทยาศาสตร์และเทคโนโลยี
แห่งชาติ (สวทช.)</t>
  </si>
  <si>
    <r>
      <t xml:space="preserve">ข้อตกลงเลขที่ FDA-CO-2563-12853-TH 
สำหรับโครงการ กลูโคสเซนเซอร์ชนิดไม่ใช้
เอนไซม์ที่สร้างจากโครงสร้างนาโนคอปเปอร์
ออกไซด์ งวดที่ 1
</t>
    </r>
    <r>
      <rPr>
        <b/>
        <sz val="13"/>
        <color theme="1"/>
        <rFont val="Cordia New"/>
        <family val="2"/>
      </rPr>
      <t xml:space="preserve">งบประมาณทั้งสิ้น 250,000.00 บาท </t>
    </r>
    <r>
      <rPr>
        <sz val="13"/>
        <color theme="1"/>
        <rFont val="Cordia New"/>
        <family val="2"/>
      </rPr>
      <t xml:space="preserve">
(งบบริหารจัดการจำนวนเงิน 30,000 บ.)</t>
    </r>
  </si>
  <si>
    <t>18/11/2563</t>
  </si>
  <si>
    <t>PR2-2564:3/35</t>
  </si>
  <si>
    <t>RV00020900064110096</t>
  </si>
  <si>
    <t>นางสาวเบ็ญจวรรณ บัวขวัญ</t>
  </si>
  <si>
    <t>สำนักส่งเสริมการบริการวิชาการและภูมิปัญญา
ชุมชน</t>
  </si>
  <si>
    <t>กรมการแพทย์แผนไทย
และการแพทย์ทางเลือก 
กระทรวงสาธารณสุข</t>
  </si>
  <si>
    <r>
      <t xml:space="preserve">เงินค่าธรรมเนียม ร้อยละ 10 ตามระเบียบคณะกรรมการการเงินและทรัพย์สิน ว่าด้วย
การบริหารจัดการทุนอุดหนุนการวิจัยจาก
แหล่งทุนภายนอก พ.ศ.2557 ตามสัญญาเลขที่ 
กภท.10/2563 โครงการสำรวจ ทำสำเนาดิจิทัล 
และปริวัตรเอกสารโบราณตำรับยาและตำรา
การแพทย์แผนไทย กลุ่มจังหวัดภาคใต้ ปีที่ 1 
</t>
    </r>
    <r>
      <rPr>
        <b/>
        <sz val="13"/>
        <color theme="1"/>
        <rFont val="Cordia New"/>
        <family val="2"/>
      </rPr>
      <t>ทุนวิจัยทั้งหมด 1,504,492.00 บาท</t>
    </r>
  </si>
  <si>
    <t>26/11/2563</t>
  </si>
  <si>
    <t>PR2-2564:4/18</t>
  </si>
  <si>
    <t>RV00020900064110162</t>
  </si>
  <si>
    <t>อาจารย์นิดา นุ้ยเด็น</t>
  </si>
  <si>
    <r>
      <t xml:space="preserve">เงินค่าธรรมเนียม ร้อยละ 10 ตามระเบียบคณะกรรมการการเงินและทรัพย์สิน ว่าด้วย
การบริหารจัดการทุนอุดหนุนการวิจัยจาก
แหล่งทุนภายนอก พ.ศ.2557 สำหรับทุน
สนับสนุนงานวิจัยเรื่อง ผลของน้ำมันระเหย
บางชนิดในประเทศไทยที่มีผลต่อสรีรวิทยา
และอารมณ์ความรู้สึก งวดสุดท้าย
</t>
    </r>
    <r>
      <rPr>
        <b/>
        <sz val="13"/>
        <color theme="1"/>
        <rFont val="Cordia New"/>
        <family val="2"/>
      </rPr>
      <t xml:space="preserve">งบประมาณทั้งสิ้น 400,000 บาท </t>
    </r>
  </si>
  <si>
    <t>08/12/2563</t>
  </si>
  <si>
    <t>PR2-2564:5/11</t>
  </si>
  <si>
    <t>RV00020900064120077</t>
  </si>
  <si>
    <t>สำนักงานการวิจัยแห่งชาติ</t>
  </si>
  <si>
    <r>
      <t xml:space="preserve">ทุนอุดหนุนดำเนินการวิจัยแผนงานวิจัย
เรื่อง การส่งเสริมศักยภาพด้านการบริการ
ท่องเที่ยวเชิงชุมชนโดยใช้โปรแกรมสนทนา
อัตโนมัติบนมือถือ กรณีศึกษา พื้นที่ชุมชน
ตำบลลานข่อย อำเภอป่าพะยอม จังหวัด
พัทลุง งวดที่ 2
</t>
    </r>
    <r>
      <rPr>
        <b/>
        <sz val="13"/>
        <color theme="1"/>
        <rFont val="Cordia New"/>
        <family val="2"/>
      </rPr>
      <t xml:space="preserve">งบประมาณทั้งสิ้น 490,000.00 บาท </t>
    </r>
  </si>
  <si>
    <t>PR2-2564:5/25</t>
  </si>
  <si>
    <t>RV00020900064120103</t>
  </si>
  <si>
    <t>ทุนอุดหนุนดำเนินการวิจัยเรื่อง The effect of 
high levels of supplementation in diet on 
growth performance and feed utilization of 
Nile tilapia งวดที่ 3</t>
  </si>
  <si>
    <t>PR2-2564:6/12</t>
  </si>
  <si>
    <t>RV00020900064120248</t>
  </si>
  <si>
    <t xml:space="preserve">อาจารย์ ดร.ธวัชชัย คังฆะมะโณ </t>
  </si>
  <si>
    <t>สำนักงานพัฒนา
วิทยาศาสตร์และ
เทคโนโลยีแห่งชาติ</t>
  </si>
  <si>
    <r>
      <t xml:space="preserve">ข้อตกลงร่วมที่ JRA-CO-2563-23089-TH 
ในโครงการวิจัยเรื่อง กลูโคสคัลเลอร์ริเมตริก
ไบโอนเซนเซอร์โดยอาศัยการเกิดสาร
ประกอบเชิงซ้อนระหว่างไอร์ออน (III) และ
ไทโอไซยาเนตไอออนจากปฏิกิริยาของเฟนตัน </t>
    </r>
    <r>
      <rPr>
        <b/>
        <sz val="13"/>
        <color theme="1"/>
        <rFont val="Cordia New"/>
        <family val="2"/>
      </rPr>
      <t>วงเงินตามสัญญา 250,000 บาท</t>
    </r>
    <r>
      <rPr>
        <sz val="13"/>
        <color theme="1"/>
        <rFont val="Cordia New"/>
        <family val="2"/>
      </rPr>
      <t xml:space="preserve">  งวดที่ 1</t>
    </r>
  </si>
  <si>
    <t>04/01/2564</t>
  </si>
  <si>
    <t>PR2-2564:6/16</t>
  </si>
  <si>
    <t>RV00020900064010008</t>
  </si>
  <si>
    <t xml:space="preserve">ผศ.ดร.สมพงศ์ โอทอง </t>
  </si>
  <si>
    <t xml:space="preserve">เงินงวดพิเศษ ก . ตามสัญญาเลขที่ 
RDG6050069 เรื่อง การพัฒนาระบบก๊าซ
ชีวภาพจากน้ำทิ้งโรงงานสกัดน้ำมันปาล์มดิบ
แบบสองขั้นตอนด้วยถังปฏิกรณ์สองชั้น </t>
  </si>
  <si>
    <t>23/02/2564</t>
  </si>
  <si>
    <t>PR2-2564:10/12</t>
  </si>
  <si>
    <t>RV00020900064020180</t>
  </si>
  <si>
    <t>สำนักงานวิจัยแห่งชาติ (วช.)</t>
  </si>
  <si>
    <r>
      <t xml:space="preserve">ทุนอุดหนุนการทำกิจกรรมส่งเสริมและ
สนับสนุนการวิจัยและนวัตกรรม เรื่อง 
การเพาะเลี้ยงปลาก้างพระร่วง (Kryptopterus 
Vitreolus) ในโรงเพาะฟัก และการพัฒนาเป็น
ปลาสวยงามเพื่อการส่งออก งวดที่ 1
</t>
    </r>
    <r>
      <rPr>
        <b/>
        <sz val="13"/>
        <color theme="1"/>
        <rFont val="Cordia New"/>
        <family val="2"/>
      </rPr>
      <t>วงเงินทั้งสิ้น 550,000 บาท</t>
    </r>
    <r>
      <rPr>
        <sz val="13"/>
        <color theme="1"/>
        <rFont val="Cordia New"/>
        <family val="2"/>
      </rPr>
      <t xml:space="preserve"> </t>
    </r>
  </si>
  <si>
    <t>25/02/2564</t>
  </si>
  <si>
    <t>PR2-2564:10/23</t>
  </si>
  <si>
    <t>RV00020900064020206</t>
  </si>
  <si>
    <t>ผศ.ดร.พีรนาฎ คิดดี</t>
  </si>
  <si>
    <t>สถาบันวิจัยและพัฒนา (ภายใต้การบริหารงานของสถาบันวิจัย)</t>
  </si>
  <si>
    <t xml:space="preserve">กองทุนพัฒนาไฟฟ้า (กกพ.) 
สำนักงานคณะกรรมการ
กำกับกิจการพลังงาน </t>
  </si>
  <si>
    <r>
      <t xml:space="preserve">ทุนอุดหนุนการทำโครงการเพื่อการส่งเสริม
สังคมและประชาชนให้มีความรู้ ความตระหนัก 
และมีส่วนร่วมทางด้านไฟฟ้า ประจำปี
งบประมาณ 2563 ภายใต้กิจกรรม นวัตกรรมพลังงานไฟฟ้าจากขยะ งวดที่ 1
</t>
    </r>
    <r>
      <rPr>
        <b/>
        <sz val="13"/>
        <color theme="1"/>
        <rFont val="Cordia New"/>
        <family val="2"/>
      </rPr>
      <t>วงเงินงบประมาณทั้งสิ้น 1,600,000 บาท</t>
    </r>
    <r>
      <rPr>
        <sz val="13"/>
        <color theme="1"/>
        <rFont val="Cordia New"/>
        <family val="2"/>
      </rPr>
      <t xml:space="preserve"> </t>
    </r>
  </si>
  <si>
    <t>PR2-2564:10/22</t>
  </si>
  <si>
    <t>RV00020900064020207</t>
  </si>
  <si>
    <t>อ.ดร.วิศาล อดทน</t>
  </si>
  <si>
    <r>
      <t xml:space="preserve">ทุนอุดหนุนการทำกิจกรรมส่งเสริมและ
สนับสนุนการวิจัยและนวัตกรรม เรื่อง 
การพัฒนาการผลิตไก่คอล่อนเชิงพาณิชย์
ในจังหวัดพัทลุง งวดที่ 1 
</t>
    </r>
    <r>
      <rPr>
        <b/>
        <sz val="13"/>
        <color theme="1"/>
        <rFont val="Cordia New"/>
        <family val="2"/>
      </rPr>
      <t>วงเงินงบประมาณทั้งสิ้น 650,000 บาท</t>
    </r>
  </si>
  <si>
    <t>PR2-2564:12/16</t>
  </si>
  <si>
    <t>RV00020900064030152</t>
  </si>
  <si>
    <t>ผศ.ดร.ประสงค์ เกษราธิคุณ</t>
  </si>
  <si>
    <t>สถาบันเทคโนโลยีนิวเคลียร์
แห่งชาติ (องค์การมหาชน)</t>
  </si>
  <si>
    <r>
      <t xml:space="preserve">สัญญารับงบประมาณสนับสนุนความร่วมมือ
วิจัยภายใต้โครงการ TINI to University : 
โครงการวิจัยชื่อการตรวจวัดและประเมิน
ค่ากัมมันตภาพจำเพาะของสารกัมมันตรังสี
ธรรมชาติและที่มนุษย์สร้างขึ้นในดินนาข้าว
และข้าวสังข์หยดอินทรีย์ที่ปลูกในตำบลดอน
ประดู่ อำเภอปากพะยูน จังหวัดพัทลุง งวดที่ 1
</t>
    </r>
    <r>
      <rPr>
        <b/>
        <sz val="13"/>
        <color theme="1"/>
        <rFont val="Cordia New"/>
        <family val="2"/>
      </rPr>
      <t>วงเงินงบประมาณทั้งสิ้น 50,000 บาท</t>
    </r>
    <r>
      <rPr>
        <sz val="13"/>
        <color theme="1"/>
        <rFont val="Cordia New"/>
        <family val="2"/>
      </rPr>
      <t xml:space="preserve"> </t>
    </r>
  </si>
  <si>
    <t>อ.ดร.พิมประภา ชัยจักร</t>
  </si>
  <si>
    <r>
      <t xml:space="preserve">สัญญารับงบประมาณสนับสนุนความร่วมมือ
วิจัยภายใต้โครงการ TINI to University : 
โครงการวิจัยชื่อการพัฒนากลุ่มจุลินทรีย์ทน
รังสีแกมมาเพื่อการประยุกต์ใช้ในการบำบัด
น้ำเสียจากโรงพยาบาล งวดที่ 1
</t>
    </r>
    <r>
      <rPr>
        <b/>
        <sz val="13"/>
        <color theme="1"/>
        <rFont val="Cordia New"/>
        <family val="2"/>
      </rPr>
      <t xml:space="preserve">วงเงินงบประมาณทั้งสิ้น 50,000 บาท </t>
    </r>
  </si>
  <si>
    <t>19/03/2564</t>
  </si>
  <si>
    <t>PR2-2564:12/34</t>
  </si>
  <si>
    <t>RV00020900064030180</t>
  </si>
  <si>
    <t>ผศ.ดร.อุไรวรรณ ทองแกมแก้ว</t>
  </si>
  <si>
    <t>คณะเทคโนโลยีและการพัฒนาชุมชน</t>
  </si>
  <si>
    <t>สำนักงานพัฒนา
การวิจัยการเกษตร
(องค์การมหาชน)</t>
  </si>
  <si>
    <t xml:space="preserve">ตามสัญญาเลขที่ PRP6305031490 สัญญา
รับทุนอุดหนุนโครงการวิจัยการเกษตร 
สำหรับทุนวิจัยเรื่อง การยกระดับคุณภาพ
และการเพิ่มมูลค่าข้าวสังข์หยดพัทลุงด้วย
นวัตกรรม งวดที่ 3
วงเงินทั้งโครงการ 2,300,000.00 บาท </t>
  </si>
  <si>
    <t>หักครบถ้วน
แล้วใน
งวดที่ 1</t>
  </si>
  <si>
    <t>PR2-2564:13/8</t>
  </si>
  <si>
    <t>RV00020900064030270</t>
  </si>
  <si>
    <t>อ.ดร.สุวิมล จุงจิตร์</t>
  </si>
  <si>
    <r>
      <t xml:space="preserve">ทุนอุดหนุนดำเนินการวิจัยแผนงานวิจัยเรื่อง 
การส่งเสริมศักยภาพด้านการบริการท่องเที่ยว
เชิงชุมชนโดยใช้โปรแกรมสนทนาอัตโนมัติบน
มือถือ กรณีศึกษา พื้นที่ชุมชนตำบลลานข่อย 
อำเภอป่าพะยอม จังหวัดพัทลุง งวดที่ 3
</t>
    </r>
    <r>
      <rPr>
        <b/>
        <sz val="13"/>
        <color theme="1"/>
        <rFont val="Cordia New"/>
        <family val="2"/>
      </rPr>
      <t>งบประมาณทั้งสิ้น 490,000.00 บาท</t>
    </r>
  </si>
  <si>
    <t>08/04/2564</t>
  </si>
  <si>
    <t>PR2-2564:13/42</t>
  </si>
  <si>
    <t>RV00020900064040068</t>
  </si>
  <si>
    <t>อ.ดร.ตั้ม บุญรอด</t>
  </si>
  <si>
    <t xml:space="preserve">สำนักงานการวิจัยแห่งชาติ </t>
  </si>
  <si>
    <r>
      <t xml:space="preserve">ตามสัญญารับทุนอุดหนุนการวิจัยและ
นวัตกรรม เลขที่ วช.อว.(อ)(ภอ)/32/2564 
งานวิจัยเรื่อง การประยุกต์ใช้โมเดลพยากรณ์
และระบบการติดตามด้วยระบบสารสนเทศ
ภูมิศาสตร์ จากผลกระทบของวิกฤต
สถานการณ์ของโรคติดเชื้อไวรัสโคโรนา 2019 
(COVID-19)ต่อความมั่นคงทางอาหาร งวดที่ 1 </t>
    </r>
    <r>
      <rPr>
        <b/>
        <sz val="13"/>
        <color theme="1"/>
        <rFont val="Cordia New"/>
        <family val="2"/>
      </rPr>
      <t>วงเงินงบประมาณทั้งสิ้น 671,000 บาท</t>
    </r>
    <r>
      <rPr>
        <sz val="13"/>
        <color theme="1"/>
        <rFont val="Cordia New"/>
        <family val="2"/>
      </rPr>
      <t xml:space="preserve"> </t>
    </r>
  </si>
  <si>
    <t>PR2-2564:13/43</t>
  </si>
  <si>
    <t>RV00020900064040069</t>
  </si>
  <si>
    <t>อ.ดร.สุธาสินี บุญญาพิทักษ์</t>
  </si>
  <si>
    <t>ดำเนินการภายใต้
สถาบันวิจัยและพัฒนา 
เนื่องจาก รศ.ดร.ณฐพงศ์ 
จิตรนิรัตน์ รองอธิการบดี
ฝ่ายการวิจัยและบริการ
วิชาการ ทำหน้าที่หัวหน้า
ชุดงานวิจัย</t>
  </si>
  <si>
    <t xml:space="preserve">สถาบันส่งเสริมการสอน
วิทยาศาสตร์และเทคโนโลยี </t>
  </si>
  <si>
    <t xml:space="preserve">งบบริหารจัดการชุดโครงการวิจัย : 
เพิ่มศักยภาพครูให้มีสมรรถนะของครูยุคใหม่
สำหรับการเรียนรู้ศตวรรษที่ 21 : โครงการวิจัย
ย่อย 1 นวัตกรรมโรงเรียนประกอบการเพื่อพัฒนาพื้นที่การเรียนรู้ต้นแบบ </t>
  </si>
  <si>
    <t>อ.ดร.ศิลป์ชัย สุวรรณมณี</t>
  </si>
  <si>
    <t xml:space="preserve">งบบริหารจัดการชุดโครงการวิจัย : 
เพิ่มศักยภาพครูให้มีสมรรถนะของครูยุคใหม่
สำหรับการเรียนรู้ศตวรรษที่ 21 : โครงการวิจัย
ย่อย 2 การขับเคลื่อนหลักสูตรฐานสมรรถนะ
ด้านวิทยาศาสตร์ คณิตศาสตร์ และเทคโนโลยี
ที่บูรณาการกับศักยภาพเชิงพื้นที่ของ
สถานศึกษาต้นแบบและการขยายผลสู่
สถานศึกษาเครือข่ายในพื้นที่นวัตกรรม
การศึกษานำร่อง จ.สตูลและจังหวัดชายแดนใต้ </t>
  </si>
  <si>
    <t xml:space="preserve">งบบริหารจัดการชุดโครงการวิจัย : 
เพิ่มศักยภาพครูให้มีสมรรถนะของครูยุคใหม่
สำหรับการเรียนรู้ศตวรรษที่ 21 : โครงการวิจัย
ย่อย 3 การพัฒนาสมรรถนะครูในศตวรรษที่ 21 
โดยใช้ Project14 เพื่อลดความเหลื่อมล้ำของ
เยาวชนให้มีวิถีชีวิตตามปรัชญาเศรษฐกิจ
พอเพียง พื้นที่เกาะ จังหวัดสตูล </t>
  </si>
  <si>
    <t>ผศ.ดร.ธัญญา พันธุ์ฤทธิ์ดำ</t>
  </si>
  <si>
    <t xml:space="preserve">งบบริหารจัดการชุดโครงการวิจัย : 
เพิ่มศักยภาพครูให้มีสมรรถนะของครูยุคใหม่
สำหรับการเรียนรู้ศตวรรษที่ 21 : โครงการวิจัย
ย่อย 4 การอบรมปฏิบัติการ GLOBE Academy
Train the trainer ในพื้นที่นวัตกรรมการศึกษา 
จ.สตูล และจังหวัดชายแดนใต้ </t>
  </si>
  <si>
    <t>22/04/2564</t>
  </si>
  <si>
    <t>เล่มที่ 1017 เลขที่ 33</t>
  </si>
  <si>
    <t>RV00020900064040144</t>
  </si>
  <si>
    <t>สำนักงานกองทุนเพื่อ
ความเสมอภาคทาง
การศึกษา</t>
  </si>
  <si>
    <r>
      <t xml:space="preserve">เงินค่าธรรมเนียม ร้อยละ 10 ตามระเบียบ
คณะกรรมการการเงินและทรัพย์สิน ว่าด้วย
การบริหารจัดการทุนอุดหนุนการวิจัยจาก
แหล่งทุนภายนอก พ.ศ.2557 ของเงินสนับสนุน
โครงการวิจัยเรื่อง ธนาคารแพะเนื้อแบบ
เลี้ยงหวะ (สัญญาเลที่ 63-0421 รหัสโครงการ 
63-071-00286)
</t>
    </r>
    <r>
      <rPr>
        <b/>
        <sz val="13"/>
        <color theme="1"/>
        <rFont val="Cordia New"/>
        <family val="2"/>
      </rPr>
      <t>วงเงินงบประมาณทั้งสิ้น 613,200 บาท</t>
    </r>
    <r>
      <rPr>
        <sz val="13"/>
        <color theme="1"/>
        <rFont val="Cordia New"/>
        <family val="2"/>
      </rPr>
      <t xml:space="preserve"> </t>
    </r>
  </si>
  <si>
    <t>เล่มที่ 1103 
เลขที่ 35</t>
  </si>
  <si>
    <t>RV00020900064060112</t>
  </si>
  <si>
    <r>
      <t xml:space="preserve">สัญญารับทุนอุดหนุนการวิจัยและนวัตกรรม 
สัญญาเลขที่ วช.อว.(อ)(ภอ)/32/2564 สำหรับ
งานวิจัยเรื่อง การประยุกต์ใช้โมเดลพยากรณ์
และระบบการติดตามด้วยระบบสารสนเทศ
ภูมิศาสตร์ จากผลกระทบของวิกฤต
สถานการณ์ของโรคติดเชื้อไวรัสโคโรนา 2019 
(COVID-19)ต่อความมั่นคงทางอาหาร งวดที่ 1
</t>
    </r>
    <r>
      <rPr>
        <b/>
        <sz val="13"/>
        <color theme="1"/>
        <rFont val="Cordia New"/>
        <family val="2"/>
      </rPr>
      <t xml:space="preserve">วงเงินงบประมาณทั้งสิ้น 671,000 บาท </t>
    </r>
  </si>
  <si>
    <t>เล่มที่ 1103 
เลขที่ 34</t>
  </si>
  <si>
    <t>RV00020900064060114</t>
  </si>
  <si>
    <r>
      <t xml:space="preserve">เงินค่าธรรมเนียม ร้อยละ 10 ตามระเบียบ
คณะกรรมการการเงินและทรัพย์สิน ว่าด้วย
การบริหารจัดการทุนอุดหนุนการวิจัยจาก
แหล่งทุนภายนอก พ.ศ.2557 สำหรับทุน
สนับสนุน เรื่อง ผลของน้ำมันระเหยบางชนิด
ในประเทศไทยที่มีผลต่อสรีรวิทยาและอารมณ์
ความรู้สึก 
</t>
    </r>
    <r>
      <rPr>
        <b/>
        <sz val="13"/>
        <color theme="1"/>
        <rFont val="Cordia New"/>
        <family val="2"/>
      </rPr>
      <t>งบประมาณทั้งสิ้น 400,000 บาท</t>
    </r>
  </si>
  <si>
    <t>09/07/2564</t>
  </si>
  <si>
    <t>PR2-2564:15/47</t>
  </si>
  <si>
    <t>RV00020900064070092</t>
  </si>
  <si>
    <t xml:space="preserve">ตามสัญญาจ้างผู้เชี่ยวชาญรายบุคคลหรือ
จ้างบริษัทที่ปรึกษา ดำเนินการโครงการ
ติดตามการดำเนินงานตามมาตรฐานสถาน
พัฒนาเด็กปฐมวัยแห่งชาติ ประจำปี
งบประมาณ 2564 โดยวิธีเฉพาะเจาะจง งวดที่ 1
วงเงินทั้งสิ้น 1,500,000 บาท </t>
  </si>
  <si>
    <t>นายศรชัย อินทะไชย</t>
  </si>
  <si>
    <r>
      <t xml:space="preserve">โครงการทุนพัฒนาศักยภาพในการทำงาน
วิจัยของอาจารย์รุ่นใหม่ ปีงบประมาณ 2564 : 
สัญญาเลขที่ RGNS 63-084 งานวิจัยเรื่อง 
การคอมโพสิตสารผสม Fe2O3 และ CuO 
กับแผ่นนาโนเคลย์ไอออนลบเพื่อเพิ่มการผลิต
ไฮโดรเจนจากน้ำด้วยการเร่งปฏิกิริยาเชิงแสง
วิสิเบิล งวดที่ 1
</t>
    </r>
    <r>
      <rPr>
        <b/>
        <sz val="13"/>
        <color theme="1"/>
        <rFont val="Cordia New"/>
        <family val="2"/>
      </rPr>
      <t>งบประมาณทั้งสิ้น 600,000.00 บาท</t>
    </r>
    <r>
      <rPr>
        <sz val="13"/>
        <color theme="1"/>
        <rFont val="Cordia New"/>
        <family val="2"/>
      </rPr>
      <t xml:space="preserve"> </t>
    </r>
  </si>
  <si>
    <t>นายนเรศ ฉิมเรศ</t>
  </si>
  <si>
    <t>คณะวิศวกรรมศาสตร์</t>
  </si>
  <si>
    <r>
      <t xml:space="preserve">โครงการทุนพัฒนาศักยภาพในการทำงาน
วิจัยของอาจารย์รุ่นใหม่ ปีงบประมาณ 2564 : 
สัญญาเลขที่ RGNS 63-086 งานวิจัยเรื่อง 
การศึกษาเชิงทดลองและเชิงตัวเลขเกี่ยวกับ
ลักษณะเฉพาะของการไหลและการถ่ายเท
ความร้อนของคอนเดนเซอร์แบบท่อติดครีบ
เกลียว งวดที่ 1
</t>
    </r>
    <r>
      <rPr>
        <b/>
        <sz val="13"/>
        <color theme="1"/>
        <rFont val="Cordia New"/>
        <family val="2"/>
      </rPr>
      <t>งบประมาณทั้งสิ้น 582,000.00 บาท</t>
    </r>
    <r>
      <rPr>
        <sz val="13"/>
        <color theme="1"/>
        <rFont val="Cordia New"/>
        <family val="2"/>
      </rPr>
      <t xml:space="preserve"> </t>
    </r>
  </si>
  <si>
    <t>20/08/2564</t>
  </si>
  <si>
    <t>PR2-2564:17/40</t>
  </si>
  <si>
    <t>RV00020900064080155</t>
  </si>
  <si>
    <t>ดร.ภูมิน นุตรทัต</t>
  </si>
  <si>
    <t>สำนักงานสภานโยบาย
การอุดมศึกษา
 วิทยาศาสตร์ วิจัยและ
นวัตกรรมแห่งชาติ</t>
  </si>
  <si>
    <r>
      <t xml:space="preserve">ตามสัญญาเลขที่ C10F640030 ซึ่งเป็นสัญญา
ร่วมทุนระหว่างบริษัท แคปแม็กซ์ จำกัด กับ
มหาวิทยาลัยทักษิณ โครงการการพัฒนาสูตร
อาหารเสริมที่เหมาะสมของเบต้ากลูแคนเพื่อ
เพิ่มประสิทธิภาพการยับยั้งการออกอาหาร
ของไวรัสโรคเริ่ม แผนงาน การขับเคลื่อน
เศรษฐกิจชีวภาพเศรษฐกิจหมุนเวียน-
เศรษฐกิจสีเขียว (BCG in Action) งวดที่ 1 </t>
    </r>
    <r>
      <rPr>
        <b/>
        <sz val="13"/>
        <color theme="1"/>
        <rFont val="Cordia New"/>
        <family val="2"/>
      </rPr>
      <t xml:space="preserve">งบประมาณทั้งสิ้น 2,617,913 บาท </t>
    </r>
  </si>
  <si>
    <t>06/09/2564</t>
  </si>
  <si>
    <t>PR2-2564:19/2</t>
  </si>
  <si>
    <t>RV00020900064090055</t>
  </si>
  <si>
    <r>
      <t xml:space="preserve">ทุนอุดหนุนการทำกิจกรรมส่งเสริมและ
สนับสนุนการวิจัยและนวัตกรรม เรื่อง 
การเพาะเลี้ยงปลาก้างพระร่วง (Kryptopterus Vitreolus) ในโรงเพาะฟัก และการพัฒนาเป็น
ปลาสวยงามเพื่อการส่งออก งวดที่ 2
</t>
    </r>
    <r>
      <rPr>
        <b/>
        <sz val="13"/>
        <color theme="1"/>
        <rFont val="Cordia New"/>
        <family val="2"/>
      </rPr>
      <t>วงเงินทั้งสิ้น 550,000 บาท</t>
    </r>
  </si>
  <si>
    <t>PR2-2564:19/1</t>
  </si>
  <si>
    <t>RV00020900064090056</t>
  </si>
  <si>
    <r>
      <t xml:space="preserve">ทุนอุดหนุนการทำกิจกรรมส่งเสริมและ
สนับสนุนการวิจัยและนวัตกรรม เรื่อง 
การพัฒนาการผลิตไก่คอล่อนเชิงพาณิชย์
ในจังหวัดพัทลุง งวดที่ 2
</t>
    </r>
    <r>
      <rPr>
        <b/>
        <sz val="13"/>
        <color theme="1"/>
        <rFont val="Cordia New"/>
        <family val="2"/>
      </rPr>
      <t xml:space="preserve">วงเงินทั้งสิ้น 650,000 บาท </t>
    </r>
  </si>
  <si>
    <t>17/09/2564</t>
  </si>
  <si>
    <t>PR2-2564:19/44</t>
  </si>
  <si>
    <t>RV00020900064090136</t>
  </si>
  <si>
    <r>
      <t xml:space="preserve">ตามสัญญาเลขที่ PRP6305031490 สัญญา
รับทุนอุดหนุนโครงการวิจัยการเกษตร เรื่อง 
การยกระดับคุณภาพและการเพิ่มมูลค่า
ข้าวสังข์หยดพัทลุงด้วยนวัตกรรม งวดที่ 4
</t>
    </r>
    <r>
      <rPr>
        <b/>
        <sz val="13"/>
        <color theme="1"/>
        <rFont val="Cordia New"/>
        <family val="2"/>
      </rPr>
      <t>วงเงินทั้งโครงการ 2,300,000.00 บาท</t>
    </r>
    <r>
      <rPr>
        <sz val="13"/>
        <color theme="1"/>
        <rFont val="Cordia New"/>
        <family val="2"/>
      </rPr>
      <t xml:space="preserve"> </t>
    </r>
  </si>
  <si>
    <t>หักครบถ้วน
แล้วใน
งวดที่ 2-3</t>
  </si>
  <si>
    <t>PR2-2564:21/12</t>
  </si>
  <si>
    <t>RV00020900064090252</t>
  </si>
  <si>
    <t>รศ.ดร.สมัคร แก้วสุกแสง</t>
  </si>
  <si>
    <t>ดำเนินการภายใต้สถาบันวิจัยและพัฒนา เนื่องจาก รศ.ดร.สมัคร 
แก้วสุกแสง รักษาการแทน
ผู้อำนวยการสถาบันวิจัย
และพัฒนา ทำหน้าที่หัวหน้า
ชุดงานวิจัย</t>
  </si>
  <si>
    <t>สำนักงานสภานโยบายการอุดมศึกษา วิทยาศาสตร์ วิจัยและนวัตกรรมแห่งชาติ</t>
  </si>
  <si>
    <r>
      <t xml:space="preserve">ตามสัญญาเลขที่ A14F640066 ของ สัญญา
ให้ทุนโครงการวิจัยและนวัตกรรมเพื่อแก้ไขปัญหาความยากจนอย่างเบ็ดเสร็จและแม่นยำในจังหวัดพัทลุง งวดที่ 2 
</t>
    </r>
    <r>
      <rPr>
        <b/>
        <sz val="13"/>
        <color theme="1"/>
        <rFont val="Cordia New"/>
        <family val="2"/>
      </rPr>
      <t xml:space="preserve">งบประมาณทั้งสิ้น 7,700,000 บาท </t>
    </r>
    <r>
      <rPr>
        <sz val="13"/>
        <color theme="1"/>
        <rFont val="Cordia New"/>
        <family val="2"/>
      </rPr>
      <t xml:space="preserve">
</t>
    </r>
    <r>
      <rPr>
        <b/>
        <sz val="13"/>
        <color rgb="FFFF0000"/>
        <rFont val="Cordia New"/>
        <family val="2"/>
      </rPr>
      <t>หมายเหตุ : งวดที่ 1 = 2,364,000 บาท ไม่ได้นำส่งมหาวิทยาลัย</t>
    </r>
  </si>
  <si>
    <t>หักส่งในงวดสุดท้าย</t>
  </si>
  <si>
    <t>PR2-2564:21/30</t>
  </si>
  <si>
    <t>RV00020900064090285</t>
  </si>
  <si>
    <r>
      <t xml:space="preserve">ทุนอุดหนุนดำเนินการวิจัยแผนงานวิจัยเรื่อง 
การส่งเสริมศักยภาพด้านการบริการท่องเที่ยว
เชิงชุมชนโดยใช้โปรแกรมสนทนาอัตโนมัติบน
มือถือ กรณีศึกษา พื้นที่ชุมชนตำบลลานข่อย 
อำเภอป่าพะยอม จังหวัดพัทลุง งวดที่ 4
</t>
    </r>
    <r>
      <rPr>
        <b/>
        <sz val="13"/>
        <color theme="1"/>
        <rFont val="Cordia New"/>
        <family val="2"/>
      </rPr>
      <t xml:space="preserve">งบประมาณทั้งสิ้น 490,000.00 บาท </t>
    </r>
  </si>
  <si>
    <t>PR2-2564:21/28</t>
  </si>
  <si>
    <t>RV00020900064090286</t>
  </si>
  <si>
    <r>
      <t xml:space="preserve">ตามสัญญารับทุนอุดหนุนการวิจัยและ
นวัตกรรม เลขที่ วช.อว.(อ)(ภอ)/32/2564 
งานวิจัยเรื่อง การประยุกต์ใช้โมเดลพยากรณ์
และระบบการติดตามด้วยระบบสารสนเทศ
ภูมิศาสตร์ จากผลกระทบของวิกฤต
สถานการณ์ของโรคติดเชื้อไวรัสโคโรนา 2019 
(COVID-19) ต่อความมั่นคงทางอาหาร งวดที่4 
</t>
    </r>
    <r>
      <rPr>
        <b/>
        <sz val="13"/>
        <color theme="1"/>
        <rFont val="Cordia New"/>
        <family val="2"/>
      </rPr>
      <t xml:space="preserve">วงเงินงบประมาณทั้งสิ้น 671,000 บาท </t>
    </r>
  </si>
  <si>
    <t>PR2-2564:22/26</t>
  </si>
  <si>
    <t>RV00020900064090314</t>
  </si>
  <si>
    <t>สถาบันเทคโนโลยี
นิวเคลียร์แห่งชาติ 
(องค์การมหาชน)</t>
  </si>
  <si>
    <r>
      <t xml:space="preserve">สัญญารับงบประมาณสนับสนุนความร่วมมือ
วิจัยภายใต้โครงการ TINI to University : โครงการวิจัยชื่อการพัฒนากลุ่มจุลินทรีย์
ทนรังสีแกมมาเพื่อการประยุกต์ใช้ในการ
บำบัดน้ำเสียจากโรงพยาบาล งวดที่ 2
</t>
    </r>
    <r>
      <rPr>
        <b/>
        <sz val="13"/>
        <color theme="1"/>
        <rFont val="Cordia New"/>
        <family val="2"/>
      </rPr>
      <t>วงเงินงบประมาณทั้งสิ้น 50,000 บาท</t>
    </r>
  </si>
  <si>
    <t>เล่มที่ 1111 
เลขที่ 38</t>
  </si>
  <si>
    <t>RV00020900064090393</t>
  </si>
  <si>
    <t>อาจารย์บุญเรือง ขาวนวล</t>
  </si>
  <si>
    <t>สถาบันวิจัยระบบสาธารณสุข</t>
  </si>
  <si>
    <r>
      <t xml:space="preserve">ตามข้อตกลงเลขที่ สวรส.64-197 สนับสนุน
ทุนวิจัย โครงการปัจจัยที่สัมพันธ์กับการคงอยู่
ในวิชาชีพของพยาบาล และการพัฒนา
ข้อเสนอเชิงนโยบายในการส่งเสริมการคงอยู่
ในวิชาชีพพยาบาลในสถานการณ์การแพร่ระบาดของโรคโควิด 19 งวดที่ 1 
</t>
    </r>
    <r>
      <rPr>
        <b/>
        <sz val="13"/>
        <color theme="1"/>
        <rFont val="Cordia New"/>
        <family val="2"/>
      </rPr>
      <t xml:space="preserve">งบประมาณทั้งสิ้น 681,978 บาท </t>
    </r>
  </si>
  <si>
    <t>เล่มที่ 1111 
เลขที่ 42</t>
  </si>
  <si>
    <t>RV00020900064090398</t>
  </si>
  <si>
    <t>ผศ.ดร.อุษา อ้นทอง</t>
  </si>
  <si>
    <r>
      <t xml:space="preserve">ทุนอุดหนุนดำเนินการวิจัยแผนงานวิจัย เรื่อง
การกำจัดน้ำล้างและเศษของเสียจากการ
ประมงปลาสามน้ำด้วยระบบหมักแบบไร้
อากาศและการประยุกต์ใช้น้ำหมักชีวภาพใน
การทำเกษตรอินทรีย์ต่อชุมชนลำปำ งวดที่ 2-4
</t>
    </r>
    <r>
      <rPr>
        <b/>
        <sz val="13"/>
        <color theme="1"/>
        <rFont val="Cordia New"/>
        <family val="2"/>
      </rPr>
      <t xml:space="preserve">งบประมาณทั้งสิ้น 450,000.00 บาท </t>
    </r>
  </si>
  <si>
    <t>JV00020900064090209</t>
  </si>
  <si>
    <r>
      <t xml:space="preserve">ทุนอุดหนุนดำเนินการวิจัยแผนงานวิจัย เรื่อง
การกำจัดน้ำล้างและเศษของเสียจากการ
ประมงปลาสามน้ำด้วยระบบหมักแบบไร้
อากาศและการประยุกต์ใช้น้ำหมักชีวภาพใน
การทำเกษตรอินทรีย์ต่อชุมชนลำปำ สำหรับ
รายการค่าธรรมเนียมธนาคาร
</t>
    </r>
    <r>
      <rPr>
        <b/>
        <sz val="13"/>
        <color theme="1"/>
        <rFont val="Cordia New"/>
        <family val="2"/>
      </rPr>
      <t xml:space="preserve">งบประมาณทั้งสิ้น 450,000.00 บาท </t>
    </r>
  </si>
  <si>
    <t>JV00020900064090212</t>
  </si>
  <si>
    <t>ศูนย์วิจัยทรัพยากรทาง
ทะเลและชายฝั่งอ่าวไทย
ตอนกลาง ชุมพร</t>
  </si>
  <si>
    <r>
      <t xml:space="preserve">ตามใบสั่งจ้างเลขที่ 464/2564 ตกลงจ้างเหมา
วิเคราะห์องค์ประกอบเลือด การเปลี่ยนแปลง
ทางเนื้อเยื่อวิทยา การติดเชื้อปรสิต และเชื้อ
แบคทีเรียของปูลม 
</t>
    </r>
    <r>
      <rPr>
        <b/>
        <sz val="13"/>
        <color theme="1"/>
        <rFont val="Cordia New"/>
        <family val="2"/>
      </rPr>
      <t>วงเงินงบประมาณทั้งสิ้น 120,000 บาท</t>
    </r>
  </si>
  <si>
    <t xml:space="preserve">ปรับปรุงรายได้เพื่อการวิจัยจากแหล่งทุนภายนอกคู่กับค่าใช้จายทุนวิจัยภายนอก 
ตามหนังสือสถาบันวิจัยที่ อว8206.04/1753 
ลว.14/10/2564 เรื่องขอแจ้งข้อมูลการรับค่าธรรมเนียมอุดหนุนสถาบันของทุนวิจัยภายนอก ปีงบประมาณ 2564 
(ตามข้อเสนอแนะตรวจสอบภายใน) 
โครงการสำรวจ ทำสำเนาดิจิทัล และปริวัตรเอกสารโบราณตำรับยาและตำราการแพทย์
แผนไทย กลุ่มจังหวัดภาคใต้ ปีที่ 1 ยอดอนุมัติเป็นทุนวิจัยทั้งหมด 1,504,492.00 บาท </t>
  </si>
  <si>
    <t>ปรับปรุงรายได้เพื่อการวิจัยจากแหล่งทุนภายนอกคู่กับค่าใช้จายทุนวิจัยภายนอก 
ตามหนังสือสถาบันวิจัยที่ อว8206.04/1753 
ลว.14/10/2564 เรื่องขอแจ้งข้อมูลการรับค่าธรรมเนียมอุดหนุนสถาบันของทุนวิจัยภายนอก ปีงบประมาณ 2564 
(ตามข้อเสนอแนะตรวจสอบภายใน)
งานวิจัย เรื่อง ผลของน้ำมันระเหยบางชนิดใน
ประเทศไทยที่มีผลต่อสรีรวิทยาและอารมณ์
ความรู้สึก งบประมาณทั้งสิ้น 400,000 บาท 
งวดที่ 2 (งวดสุดท้าย) เป็นเงิน 88,000.00 บาท</t>
  </si>
  <si>
    <t xml:space="preserve">ปรับปรุงรายได้เพื่อการวิจัยจากแหล่งทุนภายนอกคู่กับค่าใช้จายทุนวิจัยภายนอก 
ตามหนังสือสถาบันวิจัยที่ อว8206.04/1753 
ลว.14/10/2564 เรื่องขอแจ้งข้อมูลการรับค่าธรรมเนียมอุดหนุนสถาบันของทุนวิจัยภายนอก ปีงบประมาณ 2564 
(ตามข้อเสนอแนะตรวจสอบภายใน) 
โครงการวิจัยเรื่อง ธนาคารแพะเนื้อแบบ
เลี้ยงหวะ วงเงินงบประมาณทั้งสิ้น 613,200 บ. </t>
  </si>
  <si>
    <t>ปรับปรุงรายได้เพื่อการวิจัยจากแหล่งทุนภายนอกคู่กับค่าใช้จายทุนวิจัยภายนอก 
ตามหนังสือสถาบันวิจัยที่ อว8206.04/1753 
ลว.14/10/2564 เรื่องขอแจ้งข้อมูลการรับค่าธรรมเนียมอุดหนุนสถาบันของทุนวิจัยภายนอก ปีงบประมาณ 2564 
(ตามข้อเสนอแนะตรวจสอบภายใน) 
งานวิจัย เรื่อง ผลของน้ำมันระเหยบางชนิด
ในประเทศไทยที่มีผลต่อสรีรวิทยาและอารมณ์ความรู้สึก งบประมาณทั้งสิ้น 400,000 บาท 
เงินประกันผลงาน เป็นเงิน 20,000.00 บาท</t>
  </si>
  <si>
    <t>ปรับปรุงรายได้เพื่อการวิจัยจากแหล่งทุนภายนอกคู่กับค่าใช้จายทุนวิจัยภายนอก 
ตามหนังสือสถาบันวิจัยที่ อว8206.04/1753 
ลว.14/10/2564 เรื่องขอแจ้งข้อมูลการรับค่าธรรมเนียมอุดหนุนสถาบันของทุนวิจัยภายนอก ปีงบประมาณ 2564 
(ตามข้อเสนอแนะตรวจสอบภายใน) 
โครงการวิจัยและนวัตกรรมเพื่อแก้ไขปัญหาความยากจนอย่างเบ็ดเสร็จและแม่นยำในจังหวัดพัทลุง งวดที่ 1 = 2,364,000 บาท</t>
  </si>
  <si>
    <t>สำหรับปีงบประมาณ 2563  ระยะเวลาดำเนินการ 1  ตุลาคม 2562  สิ้นสุด 30 กันยายน 2563</t>
  </si>
  <si>
    <t>05/02/2563</t>
  </si>
  <si>
    <t>PR2-2563:2/47</t>
  </si>
  <si>
    <t>RV02050200363020016</t>
  </si>
  <si>
    <t>อ.ดร.เทพรัตน์ จันทพันธ์</t>
  </si>
  <si>
    <t xml:space="preserve">เงินสนับสนุนค่าธรรมเนียมอุดหนุนสถาบัน 
(งวดพิเศษ ก.) ตามสัญญาเลขที่ 
RDG57S0024 จากโครงการวิจัยเรื่อง 
กระบวนการสร้างสำนึกชาวนาอินทรีย์
เพื่อสร้างพลังในการขับเคลื่อนขบวนชาวนา
อินทรีย์ จ.พัทลุง </t>
  </si>
  <si>
    <t>04/10/2562</t>
  </si>
  <si>
    <t>PL2-2563:1/1</t>
  </si>
  <si>
    <t>RV02050200363100024</t>
  </si>
  <si>
    <t>องค์กรปกครองส่วนท้องถิ่น
จำนวน 48 หน่วยงาน</t>
  </si>
  <si>
    <t>21/10/2562</t>
  </si>
  <si>
    <t>PR2-2563:1/15</t>
  </si>
  <si>
    <t>RV02050200363100157</t>
  </si>
  <si>
    <t>PR2-2563:1/16</t>
  </si>
  <si>
    <t>RV02050200363100158</t>
  </si>
  <si>
    <t>อาจารย์ ดร.วราภรณ์ ทนงศักดิ์</t>
  </si>
  <si>
    <t>สำนักงานคณะกรรมการ
วิจัยแห่งชาติ (วช.)</t>
  </si>
  <si>
    <r>
      <t xml:space="preserve">ค่าธรรมเนียมการวิจัย ตามข้อตกลงของ
ผู้ให้ทุนภายใต้โครงการจัดการความรู้
การวิจัยเพื่อการใช้ประโยชน์ ประจำปี2561 (การจัดการความรู้การวิจัยเพื่อการใช้ประโยชน์เชิงนโยบายสาธารณะ) เรื่อง 
การพัฒนาหลักสูตรเพื่อการจัดทำระบบฐานข้อมูลชุมชนในการรับอุทกภัย  </t>
    </r>
    <r>
      <rPr>
        <b/>
        <sz val="13"/>
        <color theme="1"/>
        <rFont val="Cordia New"/>
        <family val="2"/>
      </rPr>
      <t>งบประมาณทั้งสิ้น 600,000.00 บาท</t>
    </r>
  </si>
  <si>
    <t>22/10/2562</t>
  </si>
  <si>
    <t>PR2-2563:1/17</t>
  </si>
  <si>
    <t>RV02050200363100171</t>
  </si>
  <si>
    <t>ตามสัญญาเลขที่ ซฟน.001/2562 
สัญญาจ้างดำเนินโครงการวิจัย เรื่อง 
มุมมองความสำเร็จของหลักสูตรดนตรี 
"Symphony Learning" ในการเสริมสร้าง
ศักยภาพการเรียนรู้ในกับเด็กและเยาวชน วงเงินตามสัญญา 600,000 บ. งวดที่ 3</t>
  </si>
  <si>
    <t>25/10/2562</t>
  </si>
  <si>
    <t>PL2-2563:1/2</t>
  </si>
  <si>
    <t>RV02050200363100178</t>
  </si>
  <si>
    <t>29/10/2562</t>
  </si>
  <si>
    <t>PL2-2563:1/3</t>
  </si>
  <si>
    <t>RV02050200363100224</t>
  </si>
  <si>
    <t>องค์กรปกครองส่วนท้องถิ่น
จำนวน 26 หน่วยงาน</t>
  </si>
  <si>
    <t>05/11/2562</t>
  </si>
  <si>
    <t>PL2-2563:1/4</t>
  </si>
  <si>
    <t>RV02050200363110034</t>
  </si>
  <si>
    <t>08/11/2562</t>
  </si>
  <si>
    <t>PR2-2563:1/35</t>
  </si>
  <si>
    <t>RV02050200363110149</t>
  </si>
  <si>
    <t xml:space="preserve">ตามสัญญาเลขที่ นว(ยธ)6/2561 
สัญญารับทุนอุดหนุนการวิจัย เรื่อง 
กระบวนการยุติธรรมเชิงสมานฉันท์เด็กและเยาวชนในจังหวัดชายแดนภาคใต้ งวดที่ 3
วงเงินตามสัญญา 1,100,000 บาท 
</t>
  </si>
  <si>
    <t>18/11/2562</t>
  </si>
  <si>
    <t>PL2-2563:1/6</t>
  </si>
  <si>
    <t>RV02050200363110248</t>
  </si>
  <si>
    <t>PL2-2563:1/7</t>
  </si>
  <si>
    <t>RV02050200363110249</t>
  </si>
  <si>
    <t>PL2-2563:1/5</t>
  </si>
  <si>
    <t>RV02050200363110250</t>
  </si>
  <si>
    <t>PL2-2563:1/8
PL1-2563:1/19</t>
  </si>
  <si>
    <t>RV02050200363110251</t>
  </si>
  <si>
    <t xml:space="preserve">ทุนอุดหนุนดำเนินการวิจัยแผนงานวิจัยเรื่อง การสำรวจความพึงพอใจของผู้รับบริการสำหรับการประเมินประสิทธิภาพและประสิทธิผลการปฏิบัติราชการขององค์กรปกครองส่วนท้องถิ่น ประจำปีงบประมาณ พ.ศ.2562 </t>
  </si>
  <si>
    <t>22/11/2562</t>
  </si>
  <si>
    <t>PR2-2563:1/41</t>
  </si>
  <si>
    <t>RV02050200363110297</t>
  </si>
  <si>
    <r>
      <t xml:space="preserve">อาจารย์ ดร.เปลี้อง สุวรรณมณี 
</t>
    </r>
    <r>
      <rPr>
        <b/>
        <u/>
        <sz val="13"/>
        <color theme="1"/>
        <rFont val="Cordia New"/>
        <family val="2"/>
      </rPr>
      <t xml:space="preserve">เปลี่ยนแปลงผู้ดูแลทุนวิจัยจากเดิม </t>
    </r>
    <r>
      <rPr>
        <sz val="13"/>
        <color theme="1"/>
        <rFont val="Cordia New"/>
        <family val="2"/>
      </rPr>
      <t xml:space="preserve">
อาจารย์ ดร.ทวีเดช ไชยนาพงษ์</t>
    </r>
  </si>
  <si>
    <t>สถาบันปฏิบัติการชุมชนเพื่อการศึกษาแบบ
บูรณาการ</t>
  </si>
  <si>
    <r>
      <t xml:space="preserve">เงินค่าธรรมเนียม ร้อยละ 10 ตามระเบียบ
คณะกรรมการการเงินและทรัพย์สิน ว่าด้วย
การบริหารจัดการทุนอุดหนุนการวิจัยจาก
แหล่งทุนภายนอก พ.ศ.2557 คำนวณจาก
ยอดเงินสนับสนุนการวิจัยประจำปี 2559 
เรื่อง ผลิตภัณฑ์มูลค่าเพิ่มจากสวนผลไม้โดย
ใช้กรีนเทคโนโลยี กรณีศึกษาสวนผลไม้ชุมชน ตำบลหนองธง อ.ป่าบอน 
จังหวัดพัทลุง 
</t>
    </r>
    <r>
      <rPr>
        <b/>
        <sz val="13"/>
        <color theme="1"/>
        <rFont val="Cordia New"/>
        <family val="2"/>
      </rPr>
      <t xml:space="preserve">ทุนวิจัยรวม 2,000,000.00 บาท </t>
    </r>
    <r>
      <rPr>
        <sz val="13"/>
        <color theme="1"/>
        <rFont val="Cordia New"/>
        <family val="2"/>
      </rPr>
      <t xml:space="preserve">
</t>
    </r>
    <r>
      <rPr>
        <b/>
        <u/>
        <sz val="13"/>
        <color theme="1"/>
        <rFont val="Cordia New"/>
        <family val="2"/>
      </rPr>
      <t>(ซึ่งงวดที่ 4 ยอดรับ 190,000 บาท และ
เงินประกันผลงานเป็นเงิน 100,000 บ.)</t>
    </r>
    <r>
      <rPr>
        <b/>
        <sz val="13"/>
        <color theme="1"/>
        <rFont val="Cordia New"/>
        <family val="2"/>
      </rPr>
      <t xml:space="preserve"> </t>
    </r>
  </si>
  <si>
    <t>PL2-2563:1/9</t>
  </si>
  <si>
    <t>RV02050200363110298</t>
  </si>
  <si>
    <t>28/11/2562</t>
  </si>
  <si>
    <t>PR2-2563:1/50</t>
  </si>
  <si>
    <t>RV02050200363110357</t>
  </si>
  <si>
    <t>อาจารย์ ดร.ทวนธง ครุฑจ้อน</t>
  </si>
  <si>
    <r>
      <t xml:space="preserve">ตามสัญญาจ้างผู้เชี่ยวชาญรายบุคคลหรือ
จ้างบริษัทที่ปรึกษา เลขที่ 0004/2562 
ว่าจ้างที่ปรึกษาปฏิบัติงานตามโครงการ
สำรวจความพึงพอใจของผู้รับบริการที่มีต่อ
การให้บริการสาธารณะขององค์การบริหาร
ส่วนจังหวัดภูเก็ตประจำปีงบประมาณ 2562 
</t>
    </r>
    <r>
      <rPr>
        <b/>
        <sz val="13"/>
        <color theme="1"/>
        <rFont val="Cordia New"/>
        <family val="2"/>
      </rPr>
      <t>วงเงินตามสัญญา 79,092.00 บาท</t>
    </r>
  </si>
  <si>
    <t>04/12/2562</t>
  </si>
  <si>
    <t>PL2-2563:1/10</t>
  </si>
  <si>
    <t>RV02050200363120021</t>
  </si>
  <si>
    <t>PL2-2563:1/11</t>
  </si>
  <si>
    <t>RV02050200363120022</t>
  </si>
  <si>
    <t>18/12/2562</t>
  </si>
  <si>
    <t>PL2-2563:1/12</t>
  </si>
  <si>
    <t>RV02050200363120165</t>
  </si>
  <si>
    <t>24/12/2562</t>
  </si>
  <si>
    <t>PR2-2563:2/19</t>
  </si>
  <si>
    <t>RV02050200363120212</t>
  </si>
  <si>
    <t>มูลนิธิคีนันแห่งเอเชีย</t>
  </si>
  <si>
    <t xml:space="preserve">เงินสนับสนุนเงินทุนเพื่อการจัดกิจกรรม
พัฒนาวิชาชีพครู ภายใต้โครงการ Thailand 
School Improvement Program (TSIP) 
ภายใต้โครงการพัฒนาเครือข่ายโรงเรียน
ต้นแบบเพื่อยกระดับคุณภาพงานวิชาการ 
งบประมาณทั้งสิ้น 300,000.00 บาท 
งวดที่ 1 </t>
  </si>
  <si>
    <t>26/12/2562</t>
  </si>
  <si>
    <t>PL2-2563:1/16</t>
  </si>
  <si>
    <t>RV02050200363120242</t>
  </si>
  <si>
    <t>06/01/2563</t>
  </si>
  <si>
    <t>PR2-2563:2/25</t>
  </si>
  <si>
    <t>RV02050200363010036</t>
  </si>
  <si>
    <t>สัญญาเลขที่ พป106/2562 สัญญาจ้าง
ปฏิบัติงานศึกาวิจัยเรื่อง สิทธิและเสรีภาพ
ของประชาชนและชุมชนกับการปฏิบัติ
หน้าที่ของรัฐตามที่รัฐธรรมนูญกำหนด : 
บทเรียนเพื่อการพัฒนากลไกความร่วมมือ
ระหว่างภาครัฐกับประชาชาชนและชุมชน 
วงเงินทั้งสิ้น 180,000 บาท งวดที่ 2</t>
  </si>
  <si>
    <t>PR2-2563:2/26</t>
  </si>
  <si>
    <t>สัญญาเลขที่ พป106/2562 สัญญาจ้าง
ปฏิบัติงานศึกาวิจัยเรื่อง สิทธิและเสรีภาพ
ของประชาชนและชุมชนกับการปฏิบัติ
หน้าที่ของรัฐตามที่รัฐธรรมนูญกำหนด : 
บทเรียนเพื่อการพัฒนากลไกความร่วมมือ
ระหว่างภาครัฐกับประชาชาชนและชุมชน 
วงเงินทั้งสิ้น 180,000 บาท งวดที่ 3</t>
  </si>
  <si>
    <t>09/01/2563</t>
  </si>
  <si>
    <t>PL2-2563:1/17</t>
  </si>
  <si>
    <t>RV02050200363010102</t>
  </si>
  <si>
    <t>PL2-2563:1/18</t>
  </si>
  <si>
    <t>RV02050200363010103</t>
  </si>
  <si>
    <t>03/02/2563</t>
  </si>
  <si>
    <t>PR2-2563:2/44</t>
  </si>
  <si>
    <t>RV02050200363020005</t>
  </si>
  <si>
    <r>
      <t xml:space="preserve">ตามข้อตกลงดำเนินงานสร้างเสริมสุขภาพ 
เลขที่ 61-02029-0042 โครงการให้เหล้า
เท่ากับแช่ง : การสร้างสรรค์ การรับรู้ และ
สนองตอบของสื่อภาพยนต์รณรงค์งดดื่ม
สุรา งวดที่ 1 
</t>
    </r>
    <r>
      <rPr>
        <b/>
        <sz val="13"/>
        <color theme="1"/>
        <rFont val="Cordia New"/>
        <family val="2"/>
      </rPr>
      <t>งบประมาณทั้งสิ้น 442,200 บ.</t>
    </r>
    <r>
      <rPr>
        <sz val="13"/>
        <color theme="1"/>
        <rFont val="Cordia New"/>
        <family val="2"/>
      </rPr>
      <t xml:space="preserve"> </t>
    </r>
  </si>
  <si>
    <t>PR2-2563:2/43</t>
  </si>
  <si>
    <t>RV02050200363020006</t>
  </si>
  <si>
    <t>สำนักงานกองทุนสนับสนุน
การสร้างเสริมสุขภาพ (สสส.)
ศูนย์ศึกษาปัญหาการเสพติด</t>
  </si>
  <si>
    <r>
      <t xml:space="preserve">ตามข้อตกลงดำเนินงานสร้างเสริมสุขภาพ 
เลขที่ 62-01619-0008 โครงการการ
สร้างสรรค์สื่อรณรงค์แบบมีส่วนร่วมเพื่อ
สร้างความเข้าใจและลดปัญญาการเสพ
น้ำกระท่อมในกลุ่มเยาวชนพื้นที่เสี่ยงของ
จังหวัดสงขลา งวดที่ 1 
</t>
    </r>
    <r>
      <rPr>
        <b/>
        <sz val="13"/>
        <color theme="1"/>
        <rFont val="Cordia New"/>
        <family val="2"/>
      </rPr>
      <t>วงเงินทั้งสิ้น 130,900 บาท</t>
    </r>
  </si>
  <si>
    <t>06/02/2563</t>
  </si>
  <si>
    <t>PR2-2563:2/48</t>
  </si>
  <si>
    <t>RV02050200363020024</t>
  </si>
  <si>
    <t>นางธรรญชนก ขนอม</t>
  </si>
  <si>
    <t>ร่วมพัฒนาเมือง จำกัด (สำนักงานใหญ่) 
จังหวัดสตูล</t>
  </si>
  <si>
    <r>
      <t xml:space="preserve">ทุนอุดหนุนดำเนินการวิจัยเรื่อง การสำรวจ
ความพึงพอใจของผู้ประกอบการและ
นักท่องเที่ยวที่มีต่อแอปพลิเคชั่น 
PHATTALUNG GO 
</t>
    </r>
    <r>
      <rPr>
        <b/>
        <sz val="13"/>
        <color theme="1"/>
        <rFont val="Cordia New"/>
        <family val="2"/>
      </rPr>
      <t xml:space="preserve">จำนวนเงินทั้งสิ้น 15,000.00 บาท </t>
    </r>
  </si>
  <si>
    <t>11/02/2563</t>
  </si>
  <si>
    <t>PL2-2563:1/20</t>
  </si>
  <si>
    <t>RV02050200363020077</t>
  </si>
  <si>
    <t>09/03/2563</t>
  </si>
  <si>
    <t>PL2-2563:1/21</t>
  </si>
  <si>
    <t>RV02050200363030071</t>
  </si>
  <si>
    <t xml:space="preserve">ทุนอุดหนุนดำเนินการวิจัยแผนงานวิจัย
เรื่อง การสำรวจความพึงพอใจของผู้รับบริการสำหรับการประเมินประสิทธิภาพและประสิทธิผลการปฏิบัติราชการขององค์กรปกครองส่วนท้องถิ่น ประจำปีงบประมาณ พ.ศ.2563 </t>
  </si>
  <si>
    <t>20/03/2563</t>
  </si>
  <si>
    <t>PR2-2563:3/46</t>
  </si>
  <si>
    <t>RV02050200363030193</t>
  </si>
  <si>
    <t>เงินสนับสนุนเพื่อการวิจัย เรื่อง การศึกษารูปแบบการจัดจำหน่ายสัตว์น้ำเศรษฐกิจ
ที่โตไม่ได้ขนาดในประเทศไทย งวดที่ 1
วงเงินงบประมาณทั้งสิ้น 653,400 บาท)</t>
  </si>
  <si>
    <t>03/04/2563</t>
  </si>
  <si>
    <t>เล่มที่ 0967
เลขที่ 31</t>
  </si>
  <si>
    <t>RV02050200363040017</t>
  </si>
  <si>
    <t>บริษัท ดนตรีและศิลปะซิมโฟนี จำกัด</t>
  </si>
  <si>
    <r>
      <t xml:space="preserve">ตามสัญญาเลขที่ ซฟน.001/2562 สัญญา
จ้างดำเนินโครงการวิจัย เรื่อง มุมมอง
ความสำเร็จของหลักสูตรดนตรี "Symphony 
Learning" ในการเสริมสร้างศักยภาพการ
เรียนรู้ในกับเด็กและเยาวชน งวดที่ 4
</t>
    </r>
    <r>
      <rPr>
        <b/>
        <sz val="13"/>
        <color theme="1"/>
        <rFont val="Cordia New"/>
        <family val="2"/>
      </rPr>
      <t>วงเงินตามสัญญา 600,000 บาท</t>
    </r>
  </si>
  <si>
    <t>13/04/2563</t>
  </si>
  <si>
    <t>เล่มที่ 0967
เลขที่ 44</t>
  </si>
  <si>
    <t>RV02050200363040062</t>
  </si>
  <si>
    <r>
      <t xml:space="preserve">เงินสนับสนุนเงินทุนเพื่อการจัด
พัฒนาวิชาชีพครู ภายใต้โครงการ 
Thailand School Improvement Program
(TSIP) ภายใต้โครงการพัฒนาเครือข่าย
โรงเรียนต้นแบบเพื่อยกระดับคุณภาพ
งานวิชาการ งวดที่ 2
</t>
    </r>
    <r>
      <rPr>
        <b/>
        <sz val="13"/>
        <color theme="1"/>
        <rFont val="Cordia New"/>
        <family val="2"/>
      </rPr>
      <t xml:space="preserve">งบประมาณทั้งสิ้น 300,000.00 บาท </t>
    </r>
  </si>
  <si>
    <t>17/04/2563</t>
  </si>
  <si>
    <t>เล่มที่ 0967
เลขที่ 47</t>
  </si>
  <si>
    <t>RV02050200363040105</t>
  </si>
  <si>
    <r>
      <t xml:space="preserve">ตามสัญญาเลขที่ นว(ยธ)6/2561 สัญญา
รับทุนอุดหนุนการวิจัย เรื่อง กระบวนการ
ยุติธรรมเชิงสมานฉันท์เด็กและเยาวชนใน
จังหวัดชายแดนภาคใต้ งวดที่ 4 
</t>
    </r>
    <r>
      <rPr>
        <b/>
        <sz val="13"/>
        <color theme="1"/>
        <rFont val="Cordia New"/>
        <family val="2"/>
      </rPr>
      <t>วงเงินตามสัญญา 1,100,000 บาท</t>
    </r>
  </si>
  <si>
    <t>30/04/2563</t>
  </si>
  <si>
    <t>เล่มที่ 0967 เลขที่ 50</t>
  </si>
  <si>
    <t>RV02050200363040154</t>
  </si>
  <si>
    <t>เครือขายอุดมศึกษา
ภาคใต้ตอนล่าง 
(ม.สงขลานครินทร์)</t>
  </si>
  <si>
    <r>
      <t xml:space="preserve">เงินทุนวิจัยจากเครือข่ายอุดมศึกษา
ภาคใต้ตอนล่าง ประจำปี 2563 เรื่อง 
การพัฒนาคุณภาพการศึกษาและพัฒนา
ท้องถิ่นโดยสถาบันอุดมศึกษาเป็นพี่เลี้ยง
ประจำปี 2563 : การสร้างชุมชนแห่ง
การเรียนรู้ครูประถมศึกษา เพื่อการพัฒนา
ทักษะการอ่านออกเขียนได้ การอ่านเชิง
วิเคราะห์ และจริยธรรมด้านวินัย ด้าน
จิตอาสา เสียสละและเห็นอกเห็นใจผู้อื่น 
โดยใช้บทอ่านหนังสือของพ่อสำหรับเด็ก 
(พระบาทสมเด็จพระปรมิทรภูมิพลอดุยเดช 
รัชกาลที่ 9) 
</t>
    </r>
    <r>
      <rPr>
        <b/>
        <sz val="13"/>
        <color theme="1"/>
        <rFont val="Cordia New"/>
        <family val="2"/>
      </rPr>
      <t xml:space="preserve">วงเงินทั้งสิ้น 550,000.00 บาท </t>
    </r>
  </si>
  <si>
    <t>18/06/2563</t>
  </si>
  <si>
    <t>PR2-2563:7/33</t>
  </si>
  <si>
    <t>RV02050200363060093</t>
  </si>
  <si>
    <t>อ.ดร.อภินันท์ เอื้ออังกูร</t>
  </si>
  <si>
    <t>เงินงวดพิเศษ ก . ตามสัญญาเลขที่ RDG6120041 เรื่อง การจัดการโซ่อุปทาน
และการจัดซื้อจัดหาที่ยั่งยืนของกิจการ
เพื่อสังคม : กรณีศึกษาร้านคนจับปลา</t>
  </si>
  <si>
    <t>10/08/2563</t>
  </si>
  <si>
    <t>PR2-2563:10/17</t>
  </si>
  <si>
    <t>RV02050200363080113</t>
  </si>
  <si>
    <t>รศ.ดร.ชินสัคค สุวรรณอัจฉริย</t>
  </si>
  <si>
    <t>มูลนิธิสวัสดีไทย</t>
  </si>
  <si>
    <r>
      <t xml:space="preserve">เงินค่าธรรมเนียม ร้อยละ 10 ตามระเบียบ
คณะกรรมการการเงินและทรัพย์สิน ว่าด้วย
การบริหารจัดการทุนอุดหนุนการวิจัยจาก
แหล่งทุนภายนอก พ.ศ.2557 สำหรับทุนวิจัย
ตามสัญญาที่ 02/2562 เรื่อง ความคิดใหม่กับ
กลไกเศรษฐกิจของภูมิรัฐศาสตร์โลกแก่มูลนิธิ
สวัสดีไทยบนพื้นฐานของวิธีการจัดซื้อเสนอ
</t>
    </r>
    <r>
      <rPr>
        <b/>
        <sz val="13"/>
        <color theme="1"/>
        <rFont val="Cordia New"/>
        <family val="2"/>
      </rPr>
      <t>ราคา วงเงินตามสัญญา 100,000 บาท</t>
    </r>
    <r>
      <rPr>
        <sz val="13"/>
        <color theme="1"/>
        <rFont val="Cordia New"/>
        <family val="2"/>
      </rPr>
      <t xml:space="preserve"> </t>
    </r>
  </si>
  <si>
    <t>11/08/2563</t>
  </si>
  <si>
    <t>PR2-2563:10/23</t>
  </si>
  <si>
    <t>RV02050200363080129</t>
  </si>
  <si>
    <r>
      <t>เงินทุนวิจัยจากเครือข่ายอุดมศึกษาภาคใต้
ตอนล่าง ประจำปี 2563 เรื่อง การพัฒนา
คุณภาพการศึกษาและพัฒนาท้องถิ่นโดย
สถาบันอุดมศึกษาเป็นพี่เลี้ยงประจำปี 2563 : 
การสร้างชุมชนแห่งการเรียนรู้ครูประถมศึกษา 
เพื่อการพัฒนาทักษะการอ่านออกเขียนได้ 
การอ่านเชิงวิเคราะห์ และจริยธรรมด้านวินัย 
ด้านจิตอาสา เสียสละและเห็นอกเห็นใจผู้อื่น 
โดยใช้บทอ่านหนังสือของพ่อสำหรับเด็ก 
(พระบาทสมเด็จพระปรมิทรภูมิพลอดุยเดช 
รัชกาลที่ 9) ในจังหวัดสงขลาและพัทลุง งวดที่2</t>
    </r>
    <r>
      <rPr>
        <b/>
        <sz val="13"/>
        <color theme="1"/>
        <rFont val="Cordia New"/>
        <family val="2"/>
      </rPr>
      <t xml:space="preserve">วงเงินทั้งสิ้น 550,000.00 บาท </t>
    </r>
  </si>
  <si>
    <t>09/09/2563</t>
  </si>
  <si>
    <t>PR2-2563:11/46</t>
  </si>
  <si>
    <t>RV02050200363090124</t>
  </si>
  <si>
    <t>สำนักงานกองทุนเพื่อ
ความเสมอภาคทาง
การศึกษา 
(สำนักงาน กสศ.)</t>
  </si>
  <si>
    <t xml:space="preserve">ตามสัญญภาคีร่วมดำเนินงาน เลขที่สัญญา
ที่ 63-0067 โครงการศึกษาวิจัยและประเมิน
เพื่อสร้างองค์ความรู้ในการพัฒนา
การดำเนินงานโครงการครูรัก(ษ์)ถิ่นรุ่นที่ 1 
งบประมาณทั้งสิ้น 1,372,932.00 บาท </t>
  </si>
  <si>
    <t>16/09/2563</t>
  </si>
  <si>
    <t>PL2-2563:1/45</t>
  </si>
  <si>
    <t>RV02050200363090282</t>
  </si>
  <si>
    <t>21/09/2563</t>
  </si>
  <si>
    <t>PL2-2563:1/46</t>
  </si>
  <si>
    <t>RV02050200363090343</t>
  </si>
  <si>
    <t>24/09/2563</t>
  </si>
  <si>
    <t>PL2-2563:1/48</t>
  </si>
  <si>
    <t>RV02050200363090408</t>
  </si>
  <si>
    <t>PR2-2563:13/6</t>
  </si>
  <si>
    <t>RV02050200363090409</t>
  </si>
  <si>
    <t>ตามสัญญาจ้างผู้เชี่ยวชาญรายบุคคลหรือ
จ้างบริษัทที่ปรึกษา ดำเนินการสำรวจและ
ติดตามการดำเนินตามมาตรฐานสถานพัฒนา
เด็กปฐมวัยแห่งชาติประจำปีงบประมาณ2563
ของสถานพัฒนาเด็กปฐมวัย งวดที่ 1
วงเงินงบประมาณทั้งสิ้น 2,000,000.00 บาท</t>
  </si>
  <si>
    <t>29/09/2563</t>
  </si>
  <si>
    <t>PL2-2563:2/4</t>
  </si>
  <si>
    <t>RV02050200363090541</t>
  </si>
  <si>
    <t>PL2-2563:2/3</t>
  </si>
  <si>
    <t>RV02050200363090544</t>
  </si>
  <si>
    <t>ทุนอุดหนุนดำเนินการวิจัยแผนงานวิจัยเรื่อง 
การสำรวจความพึงพอใจของผู้รับบริการ
สำหรับการประเมินประสิทธิภาพและ
ประสิทธิผลการปฏิบัติราชการขององค์กร
ปกครองส่วนท้องถิ่น ประจำปีงบประมาณ 
พ.ศ.2563</t>
  </si>
  <si>
    <t>SL2-2563:34/13</t>
  </si>
  <si>
    <t>RV00300000563090372</t>
  </si>
  <si>
    <t>PR2-2563:14/4</t>
  </si>
  <si>
    <t>RV02050200363090585</t>
  </si>
  <si>
    <t xml:space="preserve">รศ.ดร.พรพันธุ์ เขมคุณาศัย </t>
  </si>
  <si>
    <t xml:space="preserve">เงินสนับสนุนค่าธรรมเนียมอุดหนุนสถาบัน 
(งวดพิเศษ ก.)ตามสัญญาเลขที่RDG60S0001 
จากโครงการวิจัยเรื่อง การสังเคราะห์รูปแบบ
การสร้างความเข้มแข็งของชุมชนบนฐาน
การทำนา จังหวัดนราธิวาส </t>
  </si>
  <si>
    <t>PR2-2564:1/16</t>
  </si>
  <si>
    <t>RV02050200363090693</t>
  </si>
  <si>
    <t>เงินสนับสนุนเพื่อการวิจัย เรื่อง การศึกษารูปแบบการจัดจำหน่ายสัตว์น้ำเศรษฐกิจที่
โตไม่ได้ขนาดในประเทศไทย งวดที่ 2
วงเงินงบประมาณทั้งสิ้น 653,400 บาท</t>
  </si>
  <si>
    <t>JV02050200363090177</t>
  </si>
  <si>
    <t>องค์กรปกครองส่วนท้องถิ่น
จำนวน 108 หน่วยงาน</t>
  </si>
  <si>
    <t>JV02050200363090279</t>
  </si>
  <si>
    <t>ตามสัญญาจ้างผู้เชี่ยวชาญรายบุคคลหรือ
จ้างบริษัทที่ปรึกษา ดำเนินการสำรวจและ
ติดตามการดำเนินตามมาตรฐานสถานพัฒนา
เด็กปฐมวัยแห่งชาติประจำปีงบประมาณ2563
ของสถานพัฒนาเด็กปฐมวัย งวดที่ 2
วงเงินงบประมาณทั้งสิ้น 2,000,000.00 บาท</t>
  </si>
  <si>
    <t>PR2-2563:1/14</t>
  </si>
  <si>
    <t>RV02050200363100156</t>
  </si>
  <si>
    <t xml:space="preserve">ศูนย์วิจัยและพัฒนาทรัพยากรทางทะเล และชายฝั่งอ่าวไทยตอนกลาง (ศวทก.) </t>
  </si>
  <si>
    <r>
      <t xml:space="preserve">ทุนอุดหนุนดำเนินการวิจัยแผนงานวิจัย
เรื่อง การศึกษาผลกระทบขยะทะเลต่อ
ระบบนิเวศที่สำคัญ (การศึกษาองค์ประกอบเลือด การติดเชื้อ และการเปลี่ยนแปลงทางเนื้อเยื่อของปูลม) 
</t>
    </r>
    <r>
      <rPr>
        <b/>
        <sz val="13"/>
        <color theme="1"/>
        <rFont val="Cordia New"/>
        <family val="2"/>
      </rPr>
      <t>งบประมาณทั้งสิ้น 120,000.00 บาท</t>
    </r>
  </si>
  <si>
    <t>PR2-2563:2/17
และ
PR2-2563:2/18</t>
  </si>
  <si>
    <t>RV02050200363120211</t>
  </si>
  <si>
    <r>
      <t xml:space="preserve">ค่าธรรมเนียมสถาบันของงวดที่ 2-3 (10%)
ตามข้อตกลงดำเนินงานสร้างเสริมสุขภาพ เลขที่ 61-00-1385 โครงการประเมินผลเ
พื่อการเรียนรู้และพัฒนาเพื่อเสริมสร้าง
แนวทางการดำเนินงานพื้นที่ชุมชนน่าอยู่
จังหวัดพัทลุง และชุมชนชายแดนใต้
(จังหวัดยะลาและปัตตานี) 
</t>
    </r>
    <r>
      <rPr>
        <b/>
        <sz val="13"/>
        <color theme="1"/>
        <rFont val="Cordia New"/>
        <family val="2"/>
      </rPr>
      <t xml:space="preserve">งบประมาณทั้งสิ้น 2,000,000บ. </t>
    </r>
  </si>
  <si>
    <t>17/01/2563</t>
  </si>
  <si>
    <t>PR2-2563:2/35</t>
  </si>
  <si>
    <t>RV02050200363010167</t>
  </si>
  <si>
    <r>
      <t xml:space="preserve">เงินค่าธรรมเนียมร้อยละ 10 ตามระเบียบ
คณะกรรมการการเงินและทรัพย์สิน ว่าด้วย
การบริหารจัดการทุนอุดหนุนการวิจัยจาก
แหล่งทุนภายนอก พ.ศ.2557 สำหรับทุน
สนับสนุนงานวิจัย เรื่อง ผลของน้ำมันระเหย
บางชนิดในประเทศไทยที่มีผลต่อสรีรวิทยา
และอารมณ์ความรู้สึก
(งวดที่พิเศษ เบิกจ่าย160,000 บาท) 
</t>
    </r>
    <r>
      <rPr>
        <b/>
        <sz val="13"/>
        <color theme="1"/>
        <rFont val="Cordia New"/>
        <family val="2"/>
      </rPr>
      <t xml:space="preserve">งบประมาณทั้งสิ้น 400,000 บาท </t>
    </r>
    <r>
      <rPr>
        <sz val="13"/>
        <color theme="1"/>
        <rFont val="Cordia New"/>
        <family val="2"/>
      </rPr>
      <t xml:space="preserve">
</t>
    </r>
  </si>
  <si>
    <t>31/01/2563</t>
  </si>
  <si>
    <t>PR2-2563:2/42</t>
  </si>
  <si>
    <t>RV02050200363010322</t>
  </si>
  <si>
    <t>สัญญาเลขที่ สพภ.-วช.18/2561 สัญญา
รับทุนอุดหนุนส่งเสริมและสนับสนุนการวิจัย
ด้านสิ่งแวดล้อม ความหลากหลายทาง
ชีวภาพ และระบบนิเวศ เรื่อง การกำจัด
ซัลไฟด์และผลิตกรดซัลฟริคจากซัลไฟด์
ในระบบผลิตก๊าซชีวภาพจากน้ำเสียแปรรูป
ยางพาราเพื่อเพิ่มศักยภาพในการผลิตมีแทน
และนำกรดซัลฟูริคกลับมาใช้ใหม่ใน
กระบวนการผลิต งวดที่ 3 
(วงเงินตามสัญญา 500,000 บาท)</t>
  </si>
  <si>
    <t>PR2-2563:2/49</t>
  </si>
  <si>
    <t>RV02050200363020025</t>
  </si>
  <si>
    <t>สำนักงานพัฒนาการวิจัย
เกษตร(องค์การมหาชน)</t>
  </si>
  <si>
    <r>
      <t xml:space="preserve">ค่าธรรมเนียมอุดหนุนสถาบัน ตามสัญญาที่
CRP610502290 สัญญารับทุนอุดหนุน
โครงการวิจัยการเกษตร เรื่อง การบำบัดสี
ในน้ำเสียจากการแปรรูปปาล์มน้ำมัน
ด้วยเซลล์เชื้อเพลิงจุลินทรีย์ชนิดใช้กล้า
เชื้อราที่ทนสภาวะไร้อากาศเป็นตัวเร่งบน
ขั้วไฟฟ้า(ระยะที่ 2) งวดที่ 1
</t>
    </r>
    <r>
      <rPr>
        <b/>
        <sz val="13"/>
        <color theme="1"/>
        <rFont val="Cordia New"/>
        <family val="2"/>
      </rPr>
      <t>วงเงินทั้งสิ้น 1,464,093.00 บาท</t>
    </r>
  </si>
  <si>
    <t>27/03/2563</t>
  </si>
  <si>
    <t>เล่มที่ 0967 เลขที่ 15</t>
  </si>
  <si>
    <t>RV02050200363030257</t>
  </si>
  <si>
    <t>ทุนอุดหนุนดำเนินการวิจัยแผนงานวิจัย
เรื่อง การกำจัดน้ำล้างและเศษของเสีย
จากการประมงปลาสามน้ำด้วยระบบ
หมักแบบไร้อากาศและการประยุกต์ใช้
น้ำหมักชีวภาพในการทำเกษตรอินทรีย์
ต่อชุมชนลำปำ งวดที่ 1
งบประมาณทั้งสิ้น 450,000.00 บาท</t>
  </si>
  <si>
    <t>เล่มที่ 0967 เลขที่ 14</t>
  </si>
  <si>
    <t>RV02050200363030258</t>
  </si>
  <si>
    <t xml:space="preserve">ทุนอุดหนุนดำเนินการวิจัยแผนงานวิจัย
เรื่อง การส่งเสริมศักยภาพด้านการบริการ
ท่องเที่ยวเชิงชุมชนโดยใช้โปรแกรมสนทนา
อัตโนมัติบนมือถือ กรณีศึกษา พื้นที่ชุมชน
ตำบลลานข่อย อำเภอป่าพะยอม จังหวัด
พัทลุง งวดที่ 1
งบประมาณทั้งสิ้น 490,000.00 บาท </t>
  </si>
  <si>
    <t>08/04/2563</t>
  </si>
  <si>
    <t>PR2-2563:4/13</t>
  </si>
  <si>
    <t>RV02050200363040033</t>
  </si>
  <si>
    <r>
      <t xml:space="preserve">สัญญาเลขที่ สพภ.-วช.18/2561 สัญญา
รับทุนอุดหนุนส่งเสริมและสนับสนุน
วิจัยด้านสิ่งแวดล้อม ความหลากหลาย
ทางชีวภาพและระบบนิเวศ เรื่อง การกำจัด
ซัลไฟด์และผลิตกรดซัลฟริคจากซัลไฟด์
ในระบบผลิตก๊าซชีวภาพจากน้ำเสีย
แปรรูปยางพาราเพื่อเพิ่มศักยภาพใน
การผลิตมีแทนและนำกรดซัลฟูริคกลับมา
ใช้ใหม่ในกระบวนการผลิต งวดที่ 4
</t>
    </r>
    <r>
      <rPr>
        <b/>
        <sz val="13"/>
        <color theme="1"/>
        <rFont val="Cordia New"/>
        <family val="2"/>
      </rPr>
      <t xml:space="preserve">(วงเงินตามสัญญา 500,000 บาท) </t>
    </r>
  </si>
  <si>
    <t>22/04/2563</t>
  </si>
  <si>
    <t>PR2-2563:4/29</t>
  </si>
  <si>
    <t>RV02050200363040124</t>
  </si>
  <si>
    <t>สำนักงานพัฒนาวิทยาศาสตร์และเทคโนโลยีแห่งชาติ</t>
  </si>
  <si>
    <r>
      <t xml:space="preserve">สัญญาเลขที่ FDA-CO-251-5673-TH 
ซึ่งเป็นสัญญาให้ทุนอุดหนุนโครงการวิจัย
พัฒนาและวิศวกรรมเรื่องการปรับปรุง
ค่าความร้อนของวัสดุผสมเพื่อเป็น
เชื้อเพลิงจากขยะกับชีวมวลจากปาล์ม
และชีวมวลจากมะพร้าว งวดที่ 2 
</t>
    </r>
    <r>
      <rPr>
        <b/>
        <sz val="13"/>
        <color theme="1"/>
        <rFont val="Cordia New"/>
        <family val="2"/>
      </rPr>
      <t>วงเงินตามงบประมาณ 250,000 บาท</t>
    </r>
    <r>
      <rPr>
        <sz val="13"/>
        <color theme="1"/>
        <rFont val="Cordia New"/>
        <family val="2"/>
      </rPr>
      <t xml:space="preserve"> </t>
    </r>
  </si>
  <si>
    <t>หักครบถ้วนแล้วในงวดที่ 1</t>
  </si>
  <si>
    <t>23/04/2563</t>
  </si>
  <si>
    <t>เล่มที่ 0967
เลขที่ 48</t>
  </si>
  <si>
    <t>RV02050200363040127</t>
  </si>
  <si>
    <t>ทุนอุดหนุนดำเนินการวิจัยเรื่อง The effect
of high levels of supplementation in 
diet on growth performance and feed
utilization of Nile tilapia งวดที่ 2</t>
  </si>
  <si>
    <t>เล่มที่ 1012
เลขที่ 01</t>
  </si>
  <si>
    <t>RV02050200363040155</t>
  </si>
  <si>
    <r>
      <t xml:space="preserve">สัญญาให้ทุนอุดหนุนโครงการวิจัย 
พัฒนาและวิศวกรรม สัญญาเลขที่ FDA-CO-2561-5830-TH  เรื่อง การ
พัฒนาตัวเร่งปฏิกิริยาเพื่อเซลเชื้อเพลิง
เอทานอลโดยไม่ใช้เยื่อเลือกผ่าน งวดที่ 
</t>
    </r>
    <r>
      <rPr>
        <b/>
        <sz val="13"/>
        <color theme="1"/>
        <rFont val="Cordia New"/>
        <family val="2"/>
      </rPr>
      <t xml:space="preserve">งบประมาณทั้งโครงการ 250,000 บาท </t>
    </r>
  </si>
  <si>
    <t>12/05/2563</t>
  </si>
  <si>
    <t>PR2-2563:4/48</t>
  </si>
  <si>
    <t>RV02050200363050054</t>
  </si>
  <si>
    <t>ผศ.ดร.นันทรัตน์ พฤกษาพิทักษ์</t>
  </si>
  <si>
    <t>สำนักงานพัฒนา
เศรษฐกิจจากฐานชีวภาพ
(องค์การมหาชน)</t>
  </si>
  <si>
    <r>
      <t>ตามสัญญาเลขที่ สพภ.-วช.42/2561 
สัญญารับทุนอุดหนุนการวิจัย เรื่อง 
การสังเคราะห์และสมบัติของพอลิบิวธิลีน
ซัคซิเนต(PBS)เชิงอุตสาหกรรม งวดที่ 3</t>
    </r>
    <r>
      <rPr>
        <b/>
        <sz val="13"/>
        <color theme="1"/>
        <rFont val="Cordia New"/>
        <family val="2"/>
      </rPr>
      <t>งบประมาณทั้งสิ้น 1,500,000 บ.</t>
    </r>
  </si>
  <si>
    <t>13/05/2563</t>
  </si>
  <si>
    <t>PR2-2563:4/50</t>
  </si>
  <si>
    <t>RV02050200363050059</t>
  </si>
  <si>
    <t>สำนักงานพัฒนาการวิจัยการเกษตร</t>
  </si>
  <si>
    <r>
      <t xml:space="preserve">ตามสัญญาเลขที่ PRP6105012420 
สนับสนุนโครงการวิจัย เรื่อง การพัฒนา
คุณสมบัติทางกายภาพของใบไม้สีทอง
ด้วยการเคลือบน้ำยางเพื่อเพิ่มมูลค่า
ผลิตภัณฑ์ในพื้นที่จังหวัดชายแดนภาคใต้ งวดที่ 3 
</t>
    </r>
    <r>
      <rPr>
        <b/>
        <sz val="13"/>
        <color theme="1"/>
        <rFont val="Cordia New"/>
        <family val="2"/>
      </rPr>
      <t>วงเงินตามงบประมาณ 433,400 บาท</t>
    </r>
  </si>
  <si>
    <t>22/05/2563</t>
  </si>
  <si>
    <t>PR2-2563:5/33</t>
  </si>
  <si>
    <t>RV02050200363050102</t>
  </si>
  <si>
    <t>ดำเนินการภายใต้สถาบันวิจัยและพัฒนา 
รศ.ดร.ณฐพงศ์ จิตรนิรัตน์
รองอธิการบดีฝ่ายการ
วิจัยและบริการวิชาการ 
ทำหน้าที่หัวหน้าชุด
งานวิจัย</t>
  </si>
  <si>
    <t>สถาบันส่งเสริมการสอน 
วิทยาศาสตร์และเทคโนโลยี</t>
  </si>
  <si>
    <t>งบบริหารจัดการชุดโครงการวิจัย : 
เพิ่มศักยภาพครูให้มีสมรรถนะของครู
ยุคใหม่สำหรับการเรียนรู้ศตวรรษที่ 21 : 
โครงการวิจัยย่อย 1 การขับเคลื่อน
นวัตกรรมบูรณาการเพื่อพัฒนาสมรรถนะ
ทางเทคโนโลยีดิจิทัลในการเป็น
ผู้ประกอบการบนฐานชุมชนของโรงเรียน
มัธยมศึกษาพื้นที่นวัตกรรมการศึกษา 
จังหวัดสตูล</t>
  </si>
  <si>
    <t>งบบริหารจัดการชุดโครงการวิจัย : 
เพิ่มศักยภาพครูให้มีสมรรถนะของครู
ยุคใหม่สำหรับการเรียนรู้ศตวรรษที่ 21 : 
โครงการวิจัยย่อย 2 การพัฒนาผู้นำการ
เปลี่ยนแปลงของผู้บริหารสถานศึกษาใน
เขตพื้นที่นวัตกรรม (ภาคใต้)</t>
  </si>
  <si>
    <t>งบบริหารจัดการชุดโครงการวิจัย : 
เพิ่มศักยภาพครูให้มีสมรรถนะของครู
ยุคใหม่สำหรับการเรียนรู้ศตวรรษที่ 21 : 
โครงการวิจัยย่อย 3 การพัฒนาสมรรถนะ
ครูในศตวรรษที่ 21 ด้วยชุมชนการเรียนรู้
ทางวิชาชีพ เพื่อลดความเหลื่อมล้ำของ
เยาวชนให้มีวิถีชีวิตตามปรัชญาเศรษฐกิจ
พอเพียง พื้นที่เกาะจังหวัดสตูล</t>
  </si>
  <si>
    <t>อ.ดร.นันทิดา สุวรรมวงศ์</t>
  </si>
  <si>
    <t>งบบริหารจัดการชุดโครงการวิจัย : 
เพิ่มศักยภาพครูให้มีสมรรถนะของครู
ยุคใหม่สำหรับการเรียนรู้ศตวรรษที่ 21 : 
โครงการวิจัยย่อย 4 TSU GLOBE 
คณะวิทยาศาสตร์ มหาวิทยาลัยทักษิณ</t>
  </si>
  <si>
    <t>PR2-2563:7/32</t>
  </si>
  <si>
    <t>RV02050200363060092</t>
  </si>
  <si>
    <t>อ.ดร.ปุรวิชญ์ พิทยาภินันท์</t>
  </si>
  <si>
    <t>เงินงวดพิเศษ ก . ตามสัญญาเลขที่ RDG6120038 เรื่อง ความต้องการความรู้
ในการทำสวนปาล์มน้ำมันขนาดเล็กของ
เกษตรกรผู้ปลูกปาล์มน้ำมันรายย่อยใน
จังหวัดสตูล</t>
  </si>
  <si>
    <t>PR2-2563:7/34</t>
  </si>
  <si>
    <t>RV02050200363060094</t>
  </si>
  <si>
    <t>ตามสัญญาเลขที่ สพภ.-วช.42/2561 
สัญญารับทุนอุดหนุนการวิจัย เรื่อง 
การสังเคราะห์และสมบัติของพอลิบิวธิลีน
ซัคซิเนต(PBS)เชิงอุตสาหกรรม งวดที่ 4งบประมาณทั้งสิ้น 1,500,000 บ.</t>
  </si>
  <si>
    <t>หักครบถ้วนแล้วในงวดที่ 3</t>
  </si>
  <si>
    <t>15/07/2563</t>
  </si>
  <si>
    <t>PR2-2563:8/46</t>
  </si>
  <si>
    <t>RV02050200363070120</t>
  </si>
  <si>
    <t xml:space="preserve">สำนักงานพัฒนา
การวิจัยการเกษตร
(องค์การมหาชน) </t>
  </si>
  <si>
    <r>
      <t xml:space="preserve">ตามสัญญาเลขที่ PRP6305031490 สัญญา
รับทุนอุดหนุนโครงการวิจัยการเกษตร 
สำหรับทุนวิจัยเรื่อง การยกระดับคุณภาพ
และการเพิ่มมูลค่าข้าวสังข์หยดพัทลุงด้วยนวัตกรรม  งวดที่ 1 (งบบริหาร)
</t>
    </r>
    <r>
      <rPr>
        <b/>
        <sz val="13"/>
        <color theme="1"/>
        <rFont val="Cordia New"/>
        <family val="2"/>
      </rPr>
      <t xml:space="preserve">วงเงินทั้งโครงการ 2,300,000.00 บาท </t>
    </r>
  </si>
  <si>
    <t>PR2-2563:8/47</t>
  </si>
  <si>
    <r>
      <t xml:space="preserve">ตามสัญญาเลขที่ PRP6305031490 สัญญา
รับทุนอุดหนุนโครงการวิจัยการเกษตร ของสำหรับทุนวิจัยเรื่อง การยกระดับคุณภาพ
และการเพิ่มมูลค่าข้าวสังข์หยดพัทลุงด้วยนวัตกรรม  งวดที่ 1 (งบครุภัณฑ์)
</t>
    </r>
    <r>
      <rPr>
        <b/>
        <sz val="13"/>
        <color theme="1"/>
        <rFont val="Cordia New"/>
        <family val="2"/>
      </rPr>
      <t xml:space="preserve">วงเงินทั้งโครงการ 2,300,000.00 บาท </t>
    </r>
  </si>
  <si>
    <t>21/07/2563</t>
  </si>
  <si>
    <t>PR2-2563:9/22</t>
  </si>
  <si>
    <t>RV02050200363070202</t>
  </si>
  <si>
    <r>
      <t xml:space="preserve">ตามสัญญาเลขที่ PRP6105012420 
สนับสนุนโครงการวิจัย เรื่อง การพัฒนา
คุณสมบัติทางกายภาพของใบไม้สีทอง
ด้วยการเคลือบน้ำยางเพื่อเพิ่มมูลค่า
ผลิตภัณฑ์ในพื้นที่จังหวัดชายแดนภาคใต้ 
งวดที่ 4 </t>
    </r>
    <r>
      <rPr>
        <b/>
        <sz val="13"/>
        <color theme="1"/>
        <rFont val="Cordia New"/>
        <family val="2"/>
      </rPr>
      <t xml:space="preserve">วงเงินตามงบประมาณ 433,400 บ. </t>
    </r>
  </si>
  <si>
    <t>03/08/2563</t>
  </si>
  <si>
    <t>PR2-2563:9/44</t>
  </si>
  <si>
    <t>RV02050200363080019</t>
  </si>
  <si>
    <t>ว่าที่ ร.ต.พลกฤษณ์ คล้ายวิตภัทร</t>
  </si>
  <si>
    <t>สำนักงานส่งเสริม
การบริการวิชาการและ
ภูมิปัญญาชุมชน</t>
  </si>
  <si>
    <t>สำนักงานปลัดกระทรวง
การอุดมศึกษา 
วิทยาศาสตร์</t>
  </si>
  <si>
    <r>
      <t xml:space="preserve">บันทึกข้อตกลงความความร่วมมือโครงการ
ประเมินผลการดำเนินงานและประเมินผลลัพธ์
มูลค่าเพิ่ม ภายใต้ โครงการยกระดับการผลิต
สินค้าเกษตรที่เป็นอัตลักษณ์ที่เหมาะสมกับ
ศักยภาพพื้นที่ของภาค(ภาคใต้) และโครงการ
พัฒนาศักยภาพการผลิตด้านการเกษตร
(การเพิ่มมูลค่าการผลิตและแปรรูปผลิตภัณฑ์
ปศุสัตว์ ด้วยวิทยาศาสตร์และเทคโนโลยี
ในพื้นที่ภาคใต้ชายแดน) ประจำปี 2563 
</t>
    </r>
    <r>
      <rPr>
        <b/>
        <sz val="13"/>
        <color theme="1"/>
        <rFont val="Cordia New"/>
        <family val="2"/>
      </rPr>
      <t>วงเงินตามสัญญา 800,000.00 บาท</t>
    </r>
  </si>
  <si>
    <t>06/08/2563</t>
  </si>
  <si>
    <t>PR2-2563:10/2</t>
  </si>
  <si>
    <t>RV02050200363080078</t>
  </si>
  <si>
    <r>
      <t xml:space="preserve">ทุนอุดหนุนดำเนินการวิจัย เรื่อง โครงการการ
กำจัดก๊าซไฮโดรเจนซัลไฟด์ในก๊าซชีวภาพ
ด้วยระบบ Denitrifying Sulfide Remaoval </t>
    </r>
    <r>
      <rPr>
        <b/>
        <sz val="13"/>
        <color theme="1"/>
        <rFont val="Cordia New"/>
        <family val="2"/>
      </rPr>
      <t>งบประมาณทั้งโครงการ 470,000.00 บาท สำหรับเงินประกันผลงานร้อยละ 5 
(470,000 X 5%)</t>
    </r>
  </si>
  <si>
    <t>07/08/2563</t>
  </si>
  <si>
    <t>PR2-2563:10/7</t>
  </si>
  <si>
    <t>RV02050200363080096</t>
  </si>
  <si>
    <t>อาจารย์ นิดา นุ้ยเด็น</t>
  </si>
  <si>
    <r>
      <t xml:space="preserve">เงินค่าธรรมเนียม ร้อยละ 10 ตามระเบียบ
คณะกรรมการการเงินและทรัพย์สิน ว่าด้วย
การบริหารจัดการทุนอุดหนุนการวิจัยจาก
แหล่งทุนภายนอก พ.ศ.2557 สำหรับทุน
สนับสนุน เรื่อง ผลของน้ำมันระเหยบางชนิด
ในประเทศไทยที่มีผลต่อสรีรวิทยาและอารมณ์ความรู้สึก งวดที่ 1 
</t>
    </r>
    <r>
      <rPr>
        <b/>
        <sz val="13"/>
        <color theme="1"/>
        <rFont val="Cordia New"/>
        <family val="2"/>
      </rPr>
      <t>งบประมาณทั้งสิ้น 400,000 บาท</t>
    </r>
  </si>
  <si>
    <t>26/08/2563</t>
  </si>
  <si>
    <t>PR2-2563:11/10</t>
  </si>
  <si>
    <t>RV02050200363080256</t>
  </si>
  <si>
    <t>คณะอุตสาหกรรมเกษตร
และชีวภาพ</t>
  </si>
  <si>
    <t>สำนักงานพัฒนา
การวิจัยการเกษตร 
(องค์การมหาชน)</t>
  </si>
  <si>
    <r>
      <t xml:space="preserve">เงินค่าธรรมเนียมวิจัยตามหลักเกณฑ์การ
ให้ทุน ในหมวดค่าบริการวิชาการ ตามสัญญา
เลขที่ CRP6105022900 จาก เรื่อง การบำบัด
สีในน้ำเสียจากการแปรรูปปาล์มน้ำมันด้วย
เซลล์เชื้อเพลิงจุลินทรีย์ชนิดใช้กล้าเชื้อรา
ที่ทนสภาวะไร้อากาศเป็นตัวเร่งบนขั้วไฟฟ้า 
(ระยะที่2) งวดที่ 2 
</t>
    </r>
    <r>
      <rPr>
        <b/>
        <sz val="13"/>
        <color theme="1"/>
        <rFont val="Cordia New"/>
        <family val="2"/>
      </rPr>
      <t>งบประมาณทั้งสิ้น 1,464,093.00 บาท</t>
    </r>
    <r>
      <rPr>
        <sz val="13"/>
        <color theme="1"/>
        <rFont val="Cordia New"/>
        <family val="2"/>
      </rPr>
      <t xml:space="preserve"> </t>
    </r>
  </si>
  <si>
    <t>15/09/2563</t>
  </si>
  <si>
    <t>PR2-2563:12/20</t>
  </si>
  <si>
    <t>RV02050200363090264</t>
  </si>
  <si>
    <r>
      <t xml:space="preserve">ตามสัญญาเลขที่ PRP6305031490 
สัญญารับทุนอุดหนุนโครงการวิจัยการเกษตร 
สำหรับทุนวิจัยเรื่อง การยกระดับคุณภาพ
และการเพิ่มมูลค่าข้าวสังข์หยดพัทลุงด้วย
นวัตกรรม งวดที่ 2
</t>
    </r>
    <r>
      <rPr>
        <b/>
        <sz val="13"/>
        <color theme="1"/>
        <rFont val="Cordia New"/>
        <family val="2"/>
      </rPr>
      <t xml:space="preserve">วงเงินทั้งโครงการ 2,300,000.00 บาท </t>
    </r>
  </si>
  <si>
    <t>25/09/2563</t>
  </si>
  <si>
    <t>PR2-2563:13/15</t>
  </si>
  <si>
    <t>RV02050200363090423</t>
  </si>
  <si>
    <t>อ.ดร.สืบพงศ์ สงวลศิลป์</t>
  </si>
  <si>
    <t>ศูนย์วิจัยทรัพยากรทาง
ทะเลและชายฝั่งทะเล
อันดามันตอนบน</t>
  </si>
  <si>
    <t>ตามใบสั่งจ้างเลขที่ 214/2563 ได้ว่าจ้างวิเคราะห์ความหลากหลายทางชีวภาพ
ของปลาในแนวปะการัง จำนวน 1 งาน 
วงเงิน 170,000.00 บาท</t>
  </si>
  <si>
    <t>PR2-2563:13/14</t>
  </si>
  <si>
    <t>RV02050200363090424</t>
  </si>
  <si>
    <t>ศูนย์วิจัยทรัพยากรทาง
ทะเลและชายฝั่งอ่าวไทย
ตอนกลางชุมพร</t>
  </si>
  <si>
    <t>ตามใบสั่งจ้างเลขที่ 532/2563 ได้ว่าจ้าง
วิเคราะห์ตัวอย่างองค์ประกอบเลือดการ
เปลี่ยนแปลงทางเนื้อเยื่อวิทยาการติดเชื้อ
ปรสิตและเชื้อแบคทีเรียของปูลม จำนวน 1 
งาน วงเงิน 120,000.00 บาท</t>
  </si>
  <si>
    <t>28/09/2563</t>
  </si>
  <si>
    <t>PR2-2563:13/17</t>
  </si>
  <si>
    <t>RV02050200363090466</t>
  </si>
  <si>
    <t>อาจารย์ ดร.จันทวรรณ น้อยศรี</t>
  </si>
  <si>
    <t>สำนักงานพัฒนาวิทยาศาสตร์และ
เทคโนโลยีแห่งชาติ</t>
  </si>
  <si>
    <r>
      <t xml:space="preserve">ตามสัญญาเลขที่ 78/2557 ให้ทุนอุดหนุน
โครงการวิจัยเรื่อง การเปรียบเทียบผลเฉลย
ของแบบจำลองเชิงตัวเลขอย่างง่ายสำหรับ
สาธิตกระบวนการเกิดเมฆเฉพาะที่ในเขตร้อน: 
การทดลองการร้อนขึ้นของพื้นผิว งวดสุดท้าย
</t>
    </r>
    <r>
      <rPr>
        <b/>
        <sz val="13"/>
        <color theme="1"/>
        <rFont val="Cordia New"/>
        <family val="2"/>
      </rPr>
      <t xml:space="preserve">วงเงินงบประมาณทั้งสิ้น 250,000.00 บาท </t>
    </r>
  </si>
  <si>
    <t>RV02050200363090676</t>
  </si>
  <si>
    <t>ไม่ทราบแหล่งที่มา</t>
  </si>
  <si>
    <t>ตามหนังสือที่ อว8206.04/1431 ลว.29/09/63 
เรื่อง ขออนุมัติเบิกเงินทุนอุดหนุนการวิจัยจาก
แหล่งทุนวิจัยภายนอกนำส่งเป็นรายได้กองทุน
วิจัยมหาวิทยาลัยทักษิณ สำหรับเงินโอนผ่าน
บัญชีในวันที่ 05/06/63 จำนวนเงิน 20,000 บ. 
แต่ไม่มีนักวิจัยประสานงานมายังสถานบันวิจัย
เพื่อให้เป็นตามหลักการรับรู้รายได้จึงขอรับรู้
เป็นรายได้ของกองทุนวิจัยทั้งจำนวน</t>
  </si>
  <si>
    <r>
      <t xml:space="preserve">PR2-2564:1/5
</t>
    </r>
    <r>
      <rPr>
        <b/>
        <u/>
        <sz val="13"/>
        <color rgb="FFFF0000"/>
        <rFont val="Cordia New"/>
        <family val="2"/>
      </rPr>
      <t>รายได้ค้างรับ</t>
    </r>
  </si>
  <si>
    <t>RV02050200363090677
JV02050200363090067</t>
  </si>
  <si>
    <t>ผศ.ดร.ชัยสิทธิ์ นิยะสม</t>
  </si>
  <si>
    <t>สำนักคณะกรรมการ
ส่งเสริมวิทยาศาสตร์ วิจัยและนวัตกรรม(สกสว.)</t>
  </si>
  <si>
    <t>เงินเหลือจากโครงการวิจัย(เนื่องจากโครงการ
สิ้นสุดแต่ไม่มีการเบิกจ่ายค่าตอบแทนงวด
สุดท้าย) ตามเลขที่สัญญา MRG5580073 
โครงการวิจัยเรื่อง การศึกษาความหลากหลาย
ของอาร์เคียในอาหารหมักภาคใต้ของไทยที่
ปริมาณเกลือสูงด้วยเทคนิค 16S rDNA-DGGE 
และคุณสมบัติทางชีวภาพของอาร์คีโอซินที่ผลิต
โดยอาร์เคียสายพันธุ์ที่ชอบเกลือ</t>
  </si>
  <si>
    <t>JV02050200363090278</t>
  </si>
  <si>
    <r>
      <t xml:space="preserve">สัญญาเลขที่ FDA-CO-251-5673-TH 
ซึ่งเป็นสัญญาให้ทุนอุดหนุนโครงการวิจัย
พัฒนาและวิศวกรรมเรื่องการปรับปรุง
ค่าความร้อนของวัสดุผสมเพื่อเป็น
เชื้อเพลิงจากขยะกับชีวมวลจากปาล์ม
และชีวมวลจากมะพร้าว งวดที่สุดท้าย
</t>
    </r>
    <r>
      <rPr>
        <b/>
        <sz val="13"/>
        <color theme="1"/>
        <rFont val="Cordia New"/>
        <family val="2"/>
      </rPr>
      <t>วงเงินตามงบประมาณ 250,000 บาท</t>
    </r>
    <r>
      <rPr>
        <sz val="13"/>
        <color theme="1"/>
        <rFont val="Cordia New"/>
        <family val="2"/>
      </rPr>
      <t xml:space="preserve"> </t>
    </r>
  </si>
  <si>
    <t>รวมยอดเงินรับรายได้ประเภททุนสนับสนุนเพื่อการวิจัยระหว่างเดือนตุลาคม 2562 - กันยายน 2563 เป็นเงินทั้งสิ้น</t>
  </si>
  <si>
    <t>(1)</t>
  </si>
  <si>
    <t>(2)</t>
  </si>
  <si>
    <t xml:space="preserve">สรุปรายการเงินรายได้เพื่อการวิจัยจากแหล่งทุนภายนอก จัดสรรเข้าเงินกองทุนวิจัยมหาวิทยาลัยทักษิณ ทั้งปีงบประมาณ 2563 ( (1) + (2) ) = </t>
  </si>
  <si>
    <r>
      <rPr>
        <b/>
        <u/>
        <sz val="13"/>
        <color theme="1"/>
        <rFont val="Cordia New"/>
        <family val="2"/>
      </rPr>
      <t>หัก</t>
    </r>
    <r>
      <rPr>
        <sz val="13"/>
        <color theme="1"/>
        <rFont val="Cordia New"/>
        <family val="2"/>
      </rPr>
      <t xml:space="preserve">   </t>
    </r>
    <r>
      <rPr>
        <b/>
        <sz val="13"/>
        <color theme="1"/>
        <rFont val="Cordia New"/>
        <family val="2"/>
      </rPr>
      <t>รายการจัดสรรเข้าเงินกองทุนวิจัยมหาวิทยาลัยทักษิณ ระหว่างปีงบประมาณ 2563</t>
    </r>
  </si>
  <si>
    <t>คงเหลือจัดสรรเข้าเงินกองทุนวิจัยมหาวิทยาลัยทักษิณ สิ้นปีงบประมาณ 2563</t>
  </si>
  <si>
    <t>ภารกิจบัญชีดำเนินการปรับปรุงรายการ ณ วันที่ 30 กันยายน 2563 ดังนี้</t>
  </si>
  <si>
    <t>1. ปรับปรุงค่าใช้จ่ายและรายได้ของสถาบันวิจัยและพัฒนา จากการตัดงบประมาณเป็นเงินบำรุงให้กับกองทุนวิจัยมหาวิทยาลัยทักษิณ 5 % ตามแผนการเบิกจ่ายและแผนการรับเงิน</t>
  </si>
  <si>
    <t xml:space="preserve">            เดบิต   รายได้เพื่อการวิจัยจากแหล่งทุนภายนอก</t>
  </si>
  <si>
    <t xml:space="preserve">                         เครดิต  ค่าใช้จ่ายทุนวิจัยภายนอก</t>
  </si>
  <si>
    <t>2. ปรับปรุงรายได้ค้างรับ พร้อมรับรู้รายได้เพื่อการวิจัยจากแหล่งทุนภายนอก ในส่วนของงบการเงินกองทุนวิจัยมหาวิทยาลัยทักษิณ (เนื่องจากยังไม่ได้รับตัวเงินแต่มีการรับทราบว่ามีการตัดโอนงบประมาณ)</t>
  </si>
  <si>
    <t xml:space="preserve">            เดบิต   รายได้ค้างรับ</t>
  </si>
  <si>
    <t xml:space="preserve">                         เครดิต  รายได้เพื่อการวิจัยจากแหล่งทุนภายนอก</t>
  </si>
  <si>
    <t>3. เมื่อได้รับการโอนเงินบำรุงมหาวิทยาลัยเข้าบัญชีเงินฝากธนาคารเรียบร้อยแล้ว</t>
  </si>
  <si>
    <t xml:space="preserve">            เดบิต   เงินฝากธนาคาร</t>
  </si>
  <si>
    <t xml:space="preserve">                         เครดิต  รายได้ค้างรับ</t>
  </si>
  <si>
    <t>หมายเหตุ : ปฏิบัติภายใต้ระเบียบคณะกรรมการการเงินและทรัพย์สิน ว่าด้วย การบริหารจัดการทุนอุดหนุนการวิจัยจากแหล่งทุนภายนอก พ.ศ. 2557  ข้อที่ 5.6 การขอรับทุนอุดหนุนการวิจัย</t>
  </si>
  <si>
    <t xml:space="preserve">               และจัดสรรงบประมาณค่าบริหารจัดการทุนอุดหนุนการวิจัยที่ได้รับจากแหล่งทุนภายนอก ดำเนินการตามข้อที่ 5.6.2 การจัดสรรงบประมาณค่าบริหาจัดการทุนอุดหนุนการวิจัย</t>
  </si>
  <si>
    <t xml:space="preserve">               ที่ได้รับจากแหล่งทุน มหาวิทยาลัยจะเป็นผู้รับเงินทุนวิจัย และจะหักค่าธรรมเนียมร้อยละ 10 ของงบประมาณที่ได้รับจากแหล่งทุนภายนอกทุนวิจัย และแบ่งสัดส่วนดังนี้     </t>
  </si>
  <si>
    <t xml:space="preserve">   </t>
  </si>
  <si>
    <t>1. กองทุนวิจัยมหาวิทยาลัยทักษิณ ร้อยละ 50</t>
  </si>
  <si>
    <t>2. คณะ / หน่วยงานต้นสังกัดของหัวหน้าโครงการวิจัย ร้อยละ 50</t>
  </si>
  <si>
    <t>ทะเบียนคุมเงินทุนวิจัยภายนอก ปีงบประมาณ 2558</t>
  </si>
  <si>
    <t>01/12/2564</t>
  </si>
  <si>
    <t>PR2-2565:5/9</t>
  </si>
  <si>
    <t>RV00020900065120003</t>
  </si>
  <si>
    <t>องค์การบริหารส่วนจังหวัด
ภูเก็ต</t>
  </si>
  <si>
    <t>PR2-2565:5/12</t>
  </si>
  <si>
    <t>RV00020900065120005</t>
  </si>
  <si>
    <t>PL2-2565:1/28</t>
  </si>
  <si>
    <t>RV00020900065120016</t>
  </si>
  <si>
    <t>หักครบถ้วน
แล้ว</t>
  </si>
  <si>
    <t>PL2-2565:1/29</t>
  </si>
  <si>
    <t>RV00020900065120017</t>
  </si>
  <si>
    <t>08/12/2564</t>
  </si>
  <si>
    <t>PR2-2565:6/7</t>
  </si>
  <si>
    <t>RV00020900065120061</t>
  </si>
  <si>
    <t>PR2-2565:6/8</t>
  </si>
  <si>
    <t>17/12/2564</t>
  </si>
  <si>
    <t>PL2-2565:1/44</t>
  </si>
  <si>
    <t>RV00020900065120120</t>
  </si>
  <si>
    <t>PL2-2565:1/46</t>
  </si>
  <si>
    <t>RV00020900065120121</t>
  </si>
  <si>
    <t>20/12/2564</t>
  </si>
  <si>
    <t>PL2-2565:1/47</t>
  </si>
  <si>
    <t>RV00020900065120124</t>
  </si>
  <si>
    <t>10/01/2565</t>
  </si>
  <si>
    <t>PL2-2565:2/9</t>
  </si>
  <si>
    <t>RV00020900065010046</t>
  </si>
  <si>
    <t>11/01/2565</t>
  </si>
  <si>
    <t>PR2-2565:9/36</t>
  </si>
  <si>
    <t>RV00020900065010054</t>
  </si>
  <si>
    <t>14/01/2565</t>
  </si>
  <si>
    <t>PR2-2565:10/8</t>
  </si>
  <si>
    <t>RV00020900065010078</t>
  </si>
  <si>
    <t>ผศ.ชวนพิศ ชุมคง</t>
  </si>
  <si>
    <t>สำนักงานเลขาธิการคุรุสภา</t>
  </si>
  <si>
    <t>08/02/2565</t>
  </si>
  <si>
    <t>PR2-2565:12/25</t>
  </si>
  <si>
    <t>RV00020900065020088</t>
  </si>
  <si>
    <t>ผศ.ดร.มาโนช ดินลานสกูล</t>
  </si>
  <si>
    <t>เงินงวดพิเศษ ก . ตามสัญญาเลขที่ 
RDG62H0016 สำหรับโครงการวิจัยเรื่อง 
ถอดบทเรียนการจัดค่ายพัฒนาการอ่าน
การเขียน : กรณีศึกษาสมาชิกกลุ่มวรรณกรรมคลื่นใหม่และกลุ่มนาคร</t>
  </si>
  <si>
    <t>PR2-2565:12/21</t>
  </si>
  <si>
    <t>RV00020900065020090</t>
  </si>
  <si>
    <t xml:space="preserve">รศ.ดร.กรกฎ ทองขะโชค </t>
  </si>
  <si>
    <t xml:space="preserve">สำนักงานคณะกรรมการ
สิทธิมนุษยชนแห่งชาติ </t>
  </si>
  <si>
    <t>PR2-2565:5/3</t>
  </si>
  <si>
    <t>รศ.ดร.สรพงค์ เบญจศรี</t>
  </si>
  <si>
    <t>PR2-2565:12/27</t>
  </si>
  <si>
    <t>RV00020900065020092</t>
  </si>
  <si>
    <t xml:space="preserve">สำนักงานกองทุนสนับสนุน
การสร้างเสริมสุขภาพ(สสส.)
ภายใต้โครงการศูนย์ศึกษา
ปัญหาการเสพติด </t>
  </si>
  <si>
    <t>18/02/2565</t>
  </si>
  <si>
    <t>PR2-2565:13/2</t>
  </si>
  <si>
    <t>RV00020900065020169</t>
  </si>
  <si>
    <t>01/03/2565</t>
  </si>
  <si>
    <t>PR2-2565:13/24</t>
  </si>
  <si>
    <t>RV00020900065030008</t>
  </si>
  <si>
    <t>สถาบันส่งเสริมการสอน
วิทยาศาสตร์และเทคโนโลยี</t>
  </si>
  <si>
    <t>PR2-2565:13/25</t>
  </si>
  <si>
    <t>RV00020900065030009</t>
  </si>
  <si>
    <t>10/03/2565</t>
  </si>
  <si>
    <t>PR2-2565:14/38</t>
  </si>
  <si>
    <t>RV00020900065030101</t>
  </si>
  <si>
    <t>หักครบถ้วน
แล้วใน
งวด 1-2</t>
  </si>
  <si>
    <t>PR2-2565:14/39</t>
  </si>
  <si>
    <t>PR2-2565:14/40</t>
  </si>
  <si>
    <t>PR2-2565:14/41</t>
  </si>
  <si>
    <t>RV00020900065030102</t>
  </si>
  <si>
    <t>นางสาวปริญญ์ ขวัญเรียง</t>
  </si>
  <si>
    <t>ปลัดกระทรวงการอุดม
ศึกษา วิทยาศาสตร์ วิจัย
และนวัตกรรม</t>
  </si>
  <si>
    <t>11/03/2565</t>
  </si>
  <si>
    <t>PR2-2565:14/44</t>
  </si>
  <si>
    <t>RV00020900065030109</t>
  </si>
  <si>
    <t>คณะมนุษยศาสตร์และ
สังคมศาสตร์</t>
  </si>
  <si>
    <t>30/03/2565</t>
  </si>
  <si>
    <t>PR2-2565:16/46</t>
  </si>
  <si>
    <t>RV00020900065030229</t>
  </si>
  <si>
    <t>PR2-2565:16/47</t>
  </si>
  <si>
    <t>PR2-2565:16/48</t>
  </si>
  <si>
    <t>PR2-2565:5/11</t>
  </si>
  <si>
    <t>RV00020900065120002</t>
  </si>
  <si>
    <t>บริษัท ไทยยูเนี่ยน ฟีดมิลด์ 
จำกัด (มหาชน)</t>
  </si>
  <si>
    <t>PR2-2565:5/19</t>
  </si>
  <si>
    <t>RV00020900065120006</t>
  </si>
  <si>
    <t>อ.ดร.พรวิชัย เต็มบุตร</t>
  </si>
  <si>
    <t>สำหรับเงินสนับสนุนค่าธรรมเนียมอุดหนุนสถาบันตามแหล่งเงินกำหนดจากโครงการ
วิจัยจากหน่วยบริหารจัดการทุนด้านการเพิ่ม
ความสามารถในการแข่งขันของประเทศ และ
สำนักงานการวิจัยแห่งชาติ  โครงการที่ 1 
การประเมินประสิทธิภาพภาคสนามและ
การเฝ้าระวังหลังตลาดของชุดตรวจแลมป์
เปลี่ยนสีสำหรับการตรวจคัดกรองเชื้อไวรัส
โคโรน่าสายพันธุ์ใหม่ 2019 (COVID-19)</t>
  </si>
  <si>
    <t>PR2-2565:5/18</t>
  </si>
  <si>
    <t xml:space="preserve">สำหรับเงินสนับสนุนค่าธรรมเนียมอุดหนุนสถาบันตามแหล่งเงินกำหนดจากโครงการ
วิจัยจากหน่วยบริหารจัดการทุนด้านการเพิ่ม
ความสามารถในการแข่งขันของประเทศ และ
สำนักงานการวิจัยแห่งชาติ  โครงการที่ 2 
การประเมินประสิทธิภาพและความปลอดภัยของผลิตภัณฑ์สมุนไพรพืชกระท่อมเพื่อสุขภาพ </t>
  </si>
  <si>
    <t>30/12/2564</t>
  </si>
  <si>
    <t>PR2-2565:7/39</t>
  </si>
  <si>
    <t>RV00020900065120199</t>
  </si>
  <si>
    <t>PR2-2565:10/7</t>
  </si>
  <si>
    <t>RV00020900065010079</t>
  </si>
  <si>
    <t>หักส่งใน
งวดสุดท้าย
และ
งบลงทุน
ได้รับยกเว้น</t>
  </si>
  <si>
    <t>PR2-2565:12/24</t>
  </si>
  <si>
    <t>RV00020900065020089</t>
  </si>
  <si>
    <t>09/03/2565</t>
  </si>
  <si>
    <t>PR2-2565:14/34</t>
  </si>
  <si>
    <t>RV00020900065030094</t>
  </si>
  <si>
    <t xml:space="preserve">งบบริหารจัดการชุดโครงการวิจัย : 
เพิ่มศักยภาพครูให้มีสมรรถนะของครูยุคใหม่
สำหรับการเรียนรู้ศตวรรษที่ 21 (ต่อเนื่องปีที่ 
3 ปี 2565): โครงการวิจัยย่อย 1 การประเมิน
เชิงพัฒนานวัตกรรมโรงเรียนประกอบการ
ฐานชุมชน เพื่อหนุนเสริมสมรรถนะเทคโนโลยี
ดิจิทัลและทักษะเชิงอนาคตสำหรับนักเรียน
มัธยมศึกษา โรงเรียนในพื้นที่นวัตกรรม
การศึกษาจังหวัดสตูลและชายแดนใต้ </t>
  </si>
  <si>
    <t xml:space="preserve">งบบริหารจัดการชุดโครงการวิจัย : 
เพิ่มศักยภาพครูให้มีสมรรถนะของครูยุคใหม่สำหรับการเรียนรู้ศตวรรษที่ 21 (ต่อเนื่องปีที่ 
3 ปี 2565): โครงการวิจัยย่อย 2 รูปแบบผู้นำ
การขับเคลื่อนนวัตกรรมเพื่อส่งเสริมสมรรถนะ
ของผู้เรียนด้านวิทยาศาสตร์ คณิตศาสตร์และเทคโนโลยีที่บูรณาการกับศักยภาพเชิงพื้นที่ 
ภายใต้พื้นที่นวัตกรรมการศึกษา </t>
  </si>
  <si>
    <t xml:space="preserve">งบบริหารจัดการชุดโครงการวิจัย : 
เพิ่มศักยภาพครูให้มีสมรรถนะของครูยุคใหม่สำหรับการเรียนรู้ศตวรรษที่ 21 (ต่อเนื่องปีที่ 
3 ปี 2565): โครงการวิจัยย่อย 3 การพัฒนา
รูปแบบการจัดการเรียนรู้โดยใช้โครงงาน
เป็นฐานร่วมกับ Project 14 เพื่อลดความ
เหลื่อมล้ำตามปรัชญาเศรษฐกิจพอเพียง 
โรงเรียนพื้นที่เกาะ จังหวัดสตูล </t>
  </si>
  <si>
    <t>รศ.ดร.กนกพร สังขรักษ์</t>
  </si>
  <si>
    <t xml:space="preserve">งบบริหารจัดการชุดโครงการวิจัย : 
เพิ่มศักยภาพครูให้มีสมรรถนะของครูยุคใหม่สำหรับการเรียนรู้ศตวรรษที่ 21 (ต่อเนื่องปีที่ 
3 ปี 2565) : โครงการวิจัยย่อย 4 โครงการอบรมปฏิบัติการ GLOBE Academy : train 
the trainer ในพื้นที่นวัตกรรมการศึกษา
จังหวัดสตูลและจังหวัดชายแดนใต้ </t>
  </si>
  <si>
    <t>นางสาวพิมพ์ประภา ชัยจักร</t>
  </si>
  <si>
    <t>PR2-2565:14/48</t>
  </si>
  <si>
    <t>RV00020900065030107</t>
  </si>
  <si>
    <t>PR2-2565:14/45</t>
  </si>
  <si>
    <t>RV00020900065030108</t>
  </si>
  <si>
    <t>สถาบันเทคโนโลยีนิวเคลียร์แห่งชาติ (องค์การมหาชน)</t>
  </si>
  <si>
    <t>16/03/2565</t>
  </si>
  <si>
    <t>PR2-2565:15/12</t>
  </si>
  <si>
    <t>RV00020900065030138</t>
  </si>
  <si>
    <t>ผศ.ดร.อมรรัตน์ ถนนแก้ว</t>
  </si>
  <si>
    <t>เงินค่าธรรมเนียมอุดหนุนสถาบันให้
มหาวิทยาลัยทักษิณ เนื่องจากใช้บุคลากร
ของมหาวิทยาลัยเข้าร่วมดำเนินโครงการวิจัย 
(ภายใต้โครงการวิจัยบริหารจัดการของ
มหาวิทยาลัยสงขลานครินทร์ ซึ่งทางหน่วยงาน
ที่ร่วมไม่ได้จัดสรรงบดำเนินการสำหรับการวิจัยให้กับมหาวิทยาลัยทักษิณ) ตามสัญญาร่วมทุนภายใต้โครงการ การยกระดับการผลิตส่วนประกอบฟังก์ชั่นจากข้าวมีสีอัตลักษณ์ไทยสู่การใช้ประโยชน์เชิงพาณิชย์ : กรณีนำร่องข้าวสังข์หยด (ภายใต้แผนงาน การขับเคลื่อนเศรษฐกิจชีวภาพ-เศรษฐกิจหมุนเวียน-เศรษฐกิจสีเขียว)</t>
  </si>
  <si>
    <t>18/03/2565</t>
  </si>
  <si>
    <t>PR2-2565:15/22</t>
  </si>
  <si>
    <t>RV00020900065030160</t>
  </si>
  <si>
    <t>21/03/2565</t>
  </si>
  <si>
    <t>PR2-2565:15/26</t>
  </si>
  <si>
    <t>RV00020900065030164</t>
  </si>
  <si>
    <t>ผู้ช่วยศาสตราจารย์ถาวร จันทโชติ</t>
  </si>
  <si>
    <t xml:space="preserve">หักส่งใน
งวดสุดท้าย
</t>
  </si>
  <si>
    <t>23/03/2565</t>
  </si>
  <si>
    <t>PR2-2565:15/44</t>
  </si>
  <si>
    <t>RV00020900065030184</t>
  </si>
  <si>
    <t>PR2-2565:16/49</t>
  </si>
  <si>
    <t>RV00020900065030228</t>
  </si>
  <si>
    <t>ยกเว้น
ค่าธรรมเนียม</t>
  </si>
  <si>
    <t>17/05/2565</t>
  </si>
  <si>
    <t>PR2-2565:22/3</t>
  </si>
  <si>
    <t>RV00020900065050117</t>
  </si>
  <si>
    <t>สำนักงานปลัดกระทรวง
การอุดมศึกษา 
วิทยาศาสตร์ วิจัยและ
นวัตกรรม</t>
  </si>
  <si>
    <t>PR2-2565:22/4</t>
  </si>
  <si>
    <t>RV00020900065050118</t>
  </si>
  <si>
    <t>23/05/2565</t>
  </si>
  <si>
    <t>PR2-2565:23/21</t>
  </si>
  <si>
    <t>RV00020900065050182</t>
  </si>
  <si>
    <t xml:space="preserve">ศูนย์อำนวยการบริหาร
จังหวัดชายแดนภาคใต้ </t>
  </si>
  <si>
    <t>25/05/2565</t>
  </si>
  <si>
    <t>PR2-2565:24/32</t>
  </si>
  <si>
    <t>RV00020900065050219</t>
  </si>
  <si>
    <t>ดร.ระวีวัฒน์ ไทยเจริญ</t>
  </si>
  <si>
    <t>สำนักงานสภานโยบาย
การอุดมศึกษา 
วิทยาศาสตร์ วิจัยและ
นวัตกรรมแห่งชาติ</t>
  </si>
  <si>
    <t>15/06/2565</t>
  </si>
  <si>
    <t>RV00020900065060165</t>
  </si>
  <si>
    <t xml:space="preserve">ทุนอุดหนุนดำเนินการวิจัยแผนงานวิจัย เรื่อง 
สำรวจความพึงพอใจของประชาชนที่มีผลต่อ
การดำเนินงานขององค์กรปกครองส่วนท้องถิ่น 
ประจำปีงบประมาณ พ.ศ.2565-2568 </t>
  </si>
  <si>
    <t>PR2-2565:29/4</t>
  </si>
  <si>
    <t>RV00020900065060166</t>
  </si>
  <si>
    <t>16/06/2565</t>
  </si>
  <si>
    <t>PR2-2565:29/7</t>
  </si>
  <si>
    <t>RV00020900065060171</t>
  </si>
  <si>
    <t>PR2-2565:29/8</t>
  </si>
  <si>
    <t>RV00020900065060172</t>
  </si>
  <si>
    <t>อ.อัฎฐพล เทพยา</t>
  </si>
  <si>
    <t>21/06/2565</t>
  </si>
  <si>
    <t>PR2-2565:29/26</t>
  </si>
  <si>
    <t>RV00020900065060195</t>
  </si>
  <si>
    <t>27/06/2565</t>
  </si>
  <si>
    <t>PR2-2565:31/19</t>
  </si>
  <si>
    <t>RV00020900065060259</t>
  </si>
  <si>
    <t>สำนักงานคณะกรรมการ
สิทธิมนุษยชนแห่งชาติ</t>
  </si>
  <si>
    <t>28/06/2565</t>
  </si>
  <si>
    <t>PR2-2565:31/23</t>
  </si>
  <si>
    <t>RV00020900065060270</t>
  </si>
  <si>
    <t>อ.จิราพร คงรอด</t>
  </si>
  <si>
    <t>หักในงวดสุดท้าย</t>
  </si>
  <si>
    <t>PR2-2565:31/24</t>
  </si>
  <si>
    <t>RV00020900065060271</t>
  </si>
  <si>
    <t>อ.ลัดดา ประสาร</t>
  </si>
  <si>
    <t>ผศ.ดร.ก้องกิดากร บุญช่วย</t>
  </si>
  <si>
    <t>30/06/2565</t>
  </si>
  <si>
    <t>PR2-2565:31/45</t>
  </si>
  <si>
    <t>RV00020900065060312</t>
  </si>
  <si>
    <t>รศ.ดร.สมพงศ์ โอทอง</t>
  </si>
  <si>
    <t xml:space="preserve">บริษัท ไทยอีสเทิร์น 
ไบโอ พาวเวอร์ จำกัด </t>
  </si>
  <si>
    <t>06/07/2565</t>
  </si>
  <si>
    <t>PR2-2565:33/2</t>
  </si>
  <si>
    <t>RV00020900065070073</t>
  </si>
  <si>
    <t>มูลนิธิคลองโต๊ะเหล็ม
อะคาเดมี</t>
  </si>
  <si>
    <t>PR2-2565:33/4</t>
  </si>
  <si>
    <t>RV00020900065070075</t>
  </si>
  <si>
    <t xml:space="preserve">อ.ดร.นิจกานต์ หนูอุไร </t>
  </si>
  <si>
    <t xml:space="preserve">ห้างหุ้นส่วนจำกัด เคยนิคะ </t>
  </si>
  <si>
    <t>19/07/2565</t>
  </si>
  <si>
    <t>PR2-2565:34/11</t>
  </si>
  <si>
    <t>RV00020900065070123</t>
  </si>
  <si>
    <t>21/07/2565</t>
  </si>
  <si>
    <t>PR2-2565:34/17</t>
  </si>
  <si>
    <t>RV00020900065070133</t>
  </si>
  <si>
    <t>รศ.ดร.พรพันธุ์ เขมคุณาศัย</t>
  </si>
  <si>
    <t>15/08/2565</t>
  </si>
  <si>
    <t>PL2-2565:3/25</t>
  </si>
  <si>
    <t>RV00020900065080213</t>
  </si>
  <si>
    <t>18/08/2565</t>
  </si>
  <si>
    <t>PR2-2565:38/35</t>
  </si>
  <si>
    <t>RV00020900065080273</t>
  </si>
  <si>
    <t>05/09/2565</t>
  </si>
  <si>
    <t>PR2-2565:41/16</t>
  </si>
  <si>
    <t>RV00020900065090048</t>
  </si>
  <si>
    <t>13/09/2565</t>
  </si>
  <si>
    <t>PR2-2565:42/48</t>
  </si>
  <si>
    <t>RV00020900065090257</t>
  </si>
  <si>
    <t>PR2-2565:42/47</t>
  </si>
  <si>
    <t xml:space="preserve">RV00020900065090258
และ
JV00020900065090017
</t>
  </si>
  <si>
    <t>สำนักงานกองทุน
เพื่อความเสมอภาค
ทางการศึกษา</t>
  </si>
  <si>
    <t>19/09/2565</t>
  </si>
  <si>
    <t>PR2-2565:44/37</t>
  </si>
  <si>
    <t>RV00020900065090369</t>
  </si>
  <si>
    <t>29/09/2565</t>
  </si>
  <si>
    <t>PR2-2565:46/28</t>
  </si>
  <si>
    <t>RV00020900065090596</t>
  </si>
  <si>
    <t>รศ.ดร.ณฐพงศ์ จิตรนิรัตน์</t>
  </si>
  <si>
    <t xml:space="preserve">เงินงวดพิเศษ ก . ตามสัญญาเลขที่ RDG62H0011 สำหรับโครงการวิจัยเรื่อง 
คนจนเมืองที่เปลี่ยนไปในสังคมเมืองที่กำลังเปลี่ยนแปลง : กรณีศึกษาจังหวัดสงขลา </t>
  </si>
  <si>
    <t>RV00020900065090597</t>
  </si>
  <si>
    <t>องค์กรปกครองส่วนท้องถิ่น
จำนวน 23 หน่วยงาน</t>
  </si>
  <si>
    <t>JV00020900065090210</t>
  </si>
  <si>
    <t>ยกเว้นค่าธรรมเนียมทุนวิจัยร่วม</t>
  </si>
  <si>
    <t>JV00020900065090204</t>
  </si>
  <si>
    <t>JV00020900065090211</t>
  </si>
  <si>
    <t>JV00020900065090209</t>
  </si>
  <si>
    <t xml:space="preserve">อ.ดร.วิชชาญ จุลหริก </t>
  </si>
  <si>
    <t>JV00020900065090206</t>
  </si>
  <si>
    <t>JV00020900065090212</t>
  </si>
  <si>
    <t>JV00020900065090208</t>
  </si>
  <si>
    <t>ยกเว้นค่าธรรมเนียมในงวดที่ 2</t>
  </si>
  <si>
    <t>JV00020900065090203</t>
  </si>
  <si>
    <t>JV00020900065090207</t>
  </si>
  <si>
    <t>JV00020900065090200</t>
  </si>
  <si>
    <t>ทุนอุดหนุนดำเนินการวิจัยแผนงานวิจัยเรื่อง การสำรวจความพึงพอใจของประชาชนที่มี
ต่อผลการดำเนินงานขององค์กรปกครองส่วน
ท้องถิ่น ประจำปีงบประมาณ พ.ศ. 2565</t>
  </si>
  <si>
    <t>JV00020900065090201</t>
  </si>
  <si>
    <t>องค์กรปกครองส่วนท้องถิ่น
จำนวน 102 หน่วยงาน</t>
  </si>
  <si>
    <t>JV00020900065090214</t>
  </si>
  <si>
    <t>หักส่งครบถ้วนในงวดที่ 1-3</t>
  </si>
  <si>
    <t>RV00020900065020091
JV00020900065020012</t>
  </si>
  <si>
    <t>หักครบถ้วน
แล้วใน
งวดที่ 1-2</t>
  </si>
  <si>
    <t>08/04/2565</t>
  </si>
  <si>
    <t>PR2-2565:17/45</t>
  </si>
  <si>
    <t>RV00020900065040089</t>
  </si>
  <si>
    <t>DSM NUTRITIONAL 
PRODUCTS (THAILAND) 
Ltd.</t>
  </si>
  <si>
    <t>05/05/2565</t>
  </si>
  <si>
    <t>PR2-2565:20/3</t>
  </si>
  <si>
    <t>RV00020900065050037</t>
  </si>
  <si>
    <t>PR2-2565:22/5</t>
  </si>
  <si>
    <t>RV00020900065050116</t>
  </si>
  <si>
    <t>บริษัท BASF New
 Business Gmbh</t>
  </si>
  <si>
    <t>24/05/2565</t>
  </si>
  <si>
    <t>PR2-2565:24/26</t>
  </si>
  <si>
    <t>RV00020900065050189</t>
  </si>
  <si>
    <t>PR2-2565:24/33</t>
  </si>
  <si>
    <t>RV00020900065050220</t>
  </si>
  <si>
    <t>27/05/2565</t>
  </si>
  <si>
    <t>PR2-2565:25/31</t>
  </si>
  <si>
    <t>RV00020900065050249</t>
  </si>
  <si>
    <t>14/06/2565</t>
  </si>
  <si>
    <t>PR2-2565:28/50</t>
  </si>
  <si>
    <t>RV00020900065060143</t>
  </si>
  <si>
    <t>รศ.ดร. ณฐพงศ์ จิตรนิรัตน์</t>
  </si>
  <si>
    <t>PR2-2565:29/9</t>
  </si>
  <si>
    <t>RV00020900065060170</t>
  </si>
  <si>
    <t>อ.ดร.วิกาญดา ทองเนื้อแข็ง</t>
  </si>
  <si>
    <t>PR2-2565:31/17</t>
  </si>
  <si>
    <t>RV00020900065060260</t>
  </si>
  <si>
    <t xml:space="preserve">สำหรับเงินสนับสนุนค่าธรรมเนียมอุดหนุนสถาบันตามแหล่งเงินกำหนด (เงินสนับสนุน
จากโครงการวิจัยจากหน่วยบริหารจัดการทุน
ด้านการเพิ่มความสามารถในการแข่งขันของ
ประเทศ และสำนักงานการวิจัยแห่งชาติ) 
สำหรับโครงการที่ 2 การประเมินประสิทธิภาพ
และความปลอดภัยของผลิตภัณฑ์สมุนไพรพืช
กระท่อมเพื่อสุขภาพ </t>
  </si>
  <si>
    <t>ผศ.ดร.เตือนตา ร่าหมาน</t>
  </si>
  <si>
    <t>ดร.วีระวุฒิ แนบเพชร</t>
  </si>
  <si>
    <t>รศ.ดร.จตุพร แก้วอ่อน</t>
  </si>
  <si>
    <t>PR2-2565:31/46</t>
  </si>
  <si>
    <t>RV00020900065060315</t>
  </si>
  <si>
    <t>PR2-2565:33/3</t>
  </si>
  <si>
    <t>RV00020900065070074</t>
  </si>
  <si>
    <t>ผศ.ดร.กฤษฎา พัชรสิทธิ์</t>
  </si>
  <si>
    <t>บริษัท ณิชนันทน์การค้า 
ATK58</t>
  </si>
  <si>
    <t>ยกเว้น
ค่าธรรมเนียม
การวิจัย</t>
  </si>
  <si>
    <t>อ.ดร.ทิพย์ทิวา สัมพันธมิตร</t>
  </si>
  <si>
    <t>PR2-2565:5/7</t>
  </si>
  <si>
    <t>RV00020900065080274
JV00020900065080021</t>
  </si>
  <si>
    <t>สำนักงานการวิจัยแห่งชาติ (วช.)</t>
  </si>
  <si>
    <t>22/08/2565</t>
  </si>
  <si>
    <t>PR2-2565:39/1</t>
  </si>
  <si>
    <t>RV00020900065080303</t>
  </si>
  <si>
    <t>หักครบแล้วในงวดที่ 3</t>
  </si>
  <si>
    <t>PR2-2564:41/15</t>
  </si>
  <si>
    <t xml:space="preserve">RV00020900065090047
และ
JV00020900065090009
</t>
  </si>
  <si>
    <t>สำนักส่งเสริมการบริการ
วิชาการและภูมิปัญญา
ชุมชน</t>
  </si>
  <si>
    <t>PR2-2565:44/41</t>
  </si>
  <si>
    <t>RV00020900065090370</t>
  </si>
  <si>
    <t>นางสาวมาณี แก้วชนิด</t>
  </si>
  <si>
    <t xml:space="preserve">บริษัทซิกคอร์ (SICCOR) 
จำกัด </t>
  </si>
  <si>
    <t>JV00020900065090213</t>
  </si>
  <si>
    <t>JV00020900065090225</t>
  </si>
  <si>
    <t>หักส่งครบถ้วนในงวดที่ 1</t>
  </si>
  <si>
    <t>JV00020900065090229</t>
  </si>
  <si>
    <t>มหาวิทยาลัยทักษิณ</t>
  </si>
  <si>
    <t>ประจำปีงบประมาณ พ.ศ. 2565   ตั้งแต่วันที่  1  ตุลาคม 2564  ถึงวันที่ 30 กันยายน 2565</t>
  </si>
  <si>
    <t>ส่วนงาน / หน่วยงาน</t>
  </si>
  <si>
    <t xml:space="preserve">จัดสรรให้แก่กองทุนวิจัย ม. ทักษิณ
</t>
  </si>
  <si>
    <t xml:space="preserve">จัดสรรให้แก่สำนักงาน/คณะ/สาขาของนักวิจัย
</t>
  </si>
  <si>
    <r>
      <rPr>
        <b/>
        <u/>
        <sz val="12"/>
        <color indexed="8"/>
        <rFont val="Angsana New"/>
        <family val="1"/>
      </rPr>
      <t>ยกเว้น</t>
    </r>
    <r>
      <rPr>
        <b/>
        <sz val="12"/>
        <color indexed="8"/>
        <rFont val="Angsana New"/>
        <family val="1"/>
      </rPr>
      <t xml:space="preserve">
ค่าธรรมเนียมการวิจัย</t>
    </r>
  </si>
  <si>
    <t>รวมทั้งสิ้น</t>
  </si>
  <si>
    <t>รายละเอียดรายได้เพื่อการวิจัยจากแหล่งทุนภายนอก</t>
  </si>
  <si>
    <r>
      <rPr>
        <b/>
        <u/>
        <sz val="13"/>
        <color indexed="8"/>
        <rFont val="Angsana New"/>
        <family val="1"/>
      </rPr>
      <t>ยกเว้น</t>
    </r>
    <r>
      <rPr>
        <b/>
        <sz val="13"/>
        <color indexed="8"/>
        <rFont val="Angsana New"/>
        <family val="1"/>
      </rPr>
      <t xml:space="preserve">
ค่าธรรมเนียม
การวิจัย</t>
    </r>
  </si>
  <si>
    <r>
      <t xml:space="preserve">ทุนสนับสนุนการวิจัย เรื่อง การพัฒนา
กระถางปลูกพืชย่อยได้จากวัสดุเศษเหลือ
ปาล์มน้ำมัน 
</t>
    </r>
    <r>
      <rPr>
        <b/>
        <sz val="13"/>
        <color indexed="10"/>
        <rFont val="Angsana New"/>
        <family val="1"/>
      </rPr>
      <t>งบประมาณทั้งสิ้น 835,000.00 บาท</t>
    </r>
  </si>
  <si>
    <r>
      <t xml:space="preserve">ทุนอุดหนุนการทำกิจกรรมส่งเสริมและ
สนับสนุนการวิจัยและนวัตกรรม เรื่อง 
การพัฒนาการผลิตไก่คอล่อนเชิงพาณิชย์ในจังหวัดพัทลุง งวดที่ 3
</t>
    </r>
    <r>
      <rPr>
        <b/>
        <sz val="13"/>
        <color indexed="10"/>
        <rFont val="Angsana New"/>
        <family val="1"/>
      </rPr>
      <t xml:space="preserve">วงเงินทั้งสิ้น 650,000 บาท </t>
    </r>
  </si>
  <si>
    <r>
      <t xml:space="preserve">ตามสัญญที่ N24B650299 สัญญารับทุน
อุดหนุนการทำกิจกรรมส่งเสริมและสนับสนุน
การวิจัยและนวัตกรรม เรื่อง การพัฒนาระบบ
การผลิตไก่คอล่อนสำหรับเกษตรกรใน
อำเภอควนขนุน จังหวัดพัทลุง งวดที่ 1
</t>
    </r>
    <r>
      <rPr>
        <b/>
        <sz val="13"/>
        <color indexed="10"/>
        <rFont val="Angsana New"/>
        <family val="1"/>
      </rPr>
      <t xml:space="preserve">วงเงินทั้งสิ้น 400,000 บาท </t>
    </r>
  </si>
  <si>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โครงการย่อยที่ 3 การเลี้ยงแพะหวะแก้จน 
จังหวัดพัทลุง งวดที่ 1
</t>
    </r>
    <r>
      <rPr>
        <b/>
        <sz val="13"/>
        <color indexed="10"/>
        <rFont val="Angsana New"/>
        <family val="1"/>
      </rPr>
      <t xml:space="preserve">งบประมาณทั้งสิ้น 1,530,000 บาท </t>
    </r>
  </si>
  <si>
    <r>
      <t xml:space="preserve">สำหรับทุนสนับสนุนการวิจัย เรื่อง แพะ หวะ 
ทักษะอาชีพแห่งอนาคต 
</t>
    </r>
    <r>
      <rPr>
        <b/>
        <sz val="13"/>
        <color indexed="10"/>
        <rFont val="Angsana New"/>
        <family val="1"/>
      </rPr>
      <t xml:space="preserve">งบประมาณทั้งสิ้น 700,000 บาท </t>
    </r>
  </si>
  <si>
    <r>
      <t xml:space="preserve">ทุนอุดหนุนการทำกิจกรรมส่งเสริมและ
สนับสนุนการวิจัยและนวัตกรรม เรื่อง 
การพัฒนาการผลิตไก่คอล่อนเชิงพาณิชย์
ในจังหวัดพัทลุง เงินประกันผลงาน
</t>
    </r>
    <r>
      <rPr>
        <b/>
        <sz val="13"/>
        <color indexed="10"/>
        <rFont val="Angsana New"/>
        <family val="1"/>
      </rPr>
      <t>วงเงินงบประมาณทั้งสิ้น 650,000 บาท</t>
    </r>
  </si>
  <si>
    <r>
      <t xml:space="preserve">ตามสัญญที่ N24B650299 สัญญารับทุน
อุดหนุนการทำกิจกรรมส่งเสริมและสนับสนุน
การวิจัยและนวัตกรรม เรื่อง การพัฒนาระบบ
การผลิตไก่คอล่อนสำหรับเกษตรกรใน
อำเภอควนขนุน จังหวัดพัทลุง งวดที่ 2
</t>
    </r>
    <r>
      <rPr>
        <b/>
        <sz val="13"/>
        <color indexed="10"/>
        <rFont val="Angsana New"/>
        <family val="1"/>
      </rPr>
      <t xml:space="preserve">วงเงินทั้งสิ้น 400,000 บาท </t>
    </r>
  </si>
  <si>
    <r>
      <t xml:space="preserve">ตามสัญญาจ้างที่ปรึกษา เลขที่ 159/2564 
ตกลงจ้างที่ปรึกษาโครงการจัดทำข้อเสนอแนะ
มาตรการ หรือแนวทางในการเพิ่มประสิทธิภาพ
การปฏิบัติงานตามพระราชบัญญัติสัญชาติ 
(ฉบับที่ 5) พ.ศ.2555 เพื่อส่งเสริมและคุ้มครอง
สิทธิมนุษยชน งวดที่ 1 
</t>
    </r>
    <r>
      <rPr>
        <b/>
        <sz val="13"/>
        <color indexed="10"/>
        <rFont val="Angsana New"/>
        <family val="1"/>
      </rPr>
      <t xml:space="preserve">งบประมาณทั้งสิ้น 500,000.00 บาท </t>
    </r>
  </si>
  <si>
    <r>
      <t xml:space="preserve">ตามสัญญาจ้างที่ปรึกษา เลขที่ 23/2564  
จ้างที่ปรึกษาปฏิบัติงานตามโครงการส่งเสริม
สิทธิเสรีภาพและสิทธิมนุษยชนในพื้นที่จังหวัด
ชายแดนภาคใต้ กิจกรรมศึกษาและสรุปผล
การเรียนรู้ด้านสิทธิมนุษยชนที่สอดคล้องกับ
บริบทการศึกษาพหุวัฒนธรรมในพื้นที่จังหวัด
ชายแดนภาคใต้  งวดที่ 2 
</t>
    </r>
    <r>
      <rPr>
        <b/>
        <sz val="13"/>
        <color indexed="10"/>
        <rFont val="Angsana New"/>
        <family val="1"/>
      </rPr>
      <t xml:space="preserve">งบประมาณทั้งสิ้น 499,444.00 บาท </t>
    </r>
  </si>
  <si>
    <r>
      <t xml:space="preserve">ตามสัญญาจ้างที่ปรึกษา เลขที่ 159/2564 
ตกลงจ้างที่ปรึกษาโครงการจัดทำข้อเสนอแนะ
มาตรการ หรือแนวทางในการเพิ่มประสิทธิภาพ
การปฏิบัติงานตามพระราชบัญญัติสัญชาติ 
(ฉบับที่ 5) พ.ศ.2555 เพื่อส่งเสริมและคุ้มครอง
สิทธิมนุษยชน งวดที่ 1 (เงินประกันผลงาน)
</t>
    </r>
    <r>
      <rPr>
        <b/>
        <sz val="13"/>
        <color indexed="10"/>
        <rFont val="Angsana New"/>
        <family val="1"/>
      </rPr>
      <t xml:space="preserve">งบประมาณทั้งสิ้น 500,000.00 บาท </t>
    </r>
  </si>
  <si>
    <r>
      <t xml:space="preserve">ตามสัญญาจ้างที่ปรึกษา เลขที่ 23/2564  
จ้างที่ปรึกษาปฏิบัติงานตามโครงการส่งเสริม
สิทธิเสรีภาพและสิทธิมนุษยชนในพื้นที่จังหวัด
ชายแดนภาคใต้ กิจกรรมศึกษาและสรุปผล
การเรียนรู้ด้านสิทธิมนุษยชนที่สอดคล้องกับ
บริบทการศึกษาพหุวัฒนธรรมในพื้นที่จังหวัด
ชายแดนภาคใต้  งวดที่ 3
</t>
    </r>
    <r>
      <rPr>
        <b/>
        <sz val="13"/>
        <color indexed="10"/>
        <rFont val="Angsana New"/>
        <family val="1"/>
      </rPr>
      <t xml:space="preserve">งบประมาณทั้งสิ้น 499,444.00 บาท </t>
    </r>
  </si>
  <si>
    <r>
      <t xml:space="preserve">ตามสัญญาจ้างที่ปรึกษา เลขที่ 23/2564  
จ้างที่ปรึกษาปฏิบัติงานตามโครงการส่งเสริม
สิทธิเสรีภาพและสิทธิมนุษยชนในพื้นที่จังหวัด
ชายแดนภาคใต้ กิจกรรมศึกษาและสรุปผล
การเรียนรู้ด้านสิทธิมนุษยชนที่สอดคล้องกับ
บริบทการศึกษาพหุวัฒนธรรมในพื้นที่จังหวัด
ชายแดนภาคใต้  งวดที่ 2 (เงินประกันผลงาน)
</t>
    </r>
    <r>
      <rPr>
        <b/>
        <sz val="13"/>
        <color indexed="10"/>
        <rFont val="Angsana New"/>
        <family val="1"/>
      </rPr>
      <t xml:space="preserve">งบประมาณทั้งสิ้น 499,444.00 บาท </t>
    </r>
  </si>
  <si>
    <r>
      <t xml:space="preserve">ตามสัญญาจ้างที่ปรึกษา เลขที่ 23/2564  
จ้างที่ปรึกษาปฏิบัติงานตามโครงการส่งเสริม
สิทธิเสรีภาพและสิทธิมนุษยชนในพื้นที่จังหวัด
ชายแดนภาคใต้ กิจกรรมศึกษาและสรุปผล
การเรียนรู้ด้านสิทธิมนุษยชนที่สอดคล้องกับ
บริบทการศึกษาพหุวัฒนธรรมในพื้นที่จังหวัด
ชายแดนภาคใต้  งวดที่ 3 (เงินประกันผลงาน)
</t>
    </r>
    <r>
      <rPr>
        <b/>
        <sz val="13"/>
        <color indexed="10"/>
        <rFont val="Angsana New"/>
        <family val="1"/>
      </rPr>
      <t xml:space="preserve">งบประมาณทั้งสิ้น 499,444.00 บาท </t>
    </r>
  </si>
  <si>
    <r>
      <t xml:space="preserve">ตามสัญญาจ้างที่ปรึกษา เลขที่ 23/2564  
จ้างที่ปรึกษาปฏิบัติงานตามโครงการส่งเสริม
สิทธิเสรีภาพและสิทธิมนุษยชนในพื้นที่จังหวัด
ชายแดนภาคใต้ กิจกรรมศึกษาและสรุปผล
การเรียนรู้ด้านสิทธิมนุษยชนที่สอดคล้องกับ
บริบทการศึกษาพหุวัฒนธรรมในพื้นที่จังหวัด
ชายแดนภาคใต้ เงินประกันผลงานงวดที่ 1
</t>
    </r>
    <r>
      <rPr>
        <b/>
        <sz val="13"/>
        <color indexed="10"/>
        <rFont val="Angsana New"/>
        <family val="1"/>
      </rPr>
      <t xml:space="preserve">งบประมาณทั้งสิ้น 499,444 บาท </t>
    </r>
  </si>
  <si>
    <r>
      <t xml:space="preserve">ตามสัญญาจ้างที่ปรึกษา เลขที่ 159/2564 
ตกลงจ้างที่ปรึกษาโครงการจัดทำข้อเสนอแนะ
มาตรการ หรือแนวทางในการเพิ่มประสิทธิภาพ
การปฏิบัติงานตามพระราชบัญญัติสัญชาติ 
(ฉบับที่ 5) พ.ศ.2555 เพื่อส่งเสริมและคุ้มครอง
สิทธิมนุษยชน งวดที่ 2 
</t>
    </r>
    <r>
      <rPr>
        <b/>
        <sz val="13"/>
        <color indexed="10"/>
        <rFont val="Angsana New"/>
        <family val="1"/>
      </rPr>
      <t xml:space="preserve">งบประมาณทั้งสิ้น 500,000.00 บาท </t>
    </r>
  </si>
  <si>
    <r>
      <t xml:space="preserve">ตามสัญญาจ้างที่ปรึกษา เลขที่ 159/2564 
ตกลงจ้างที่ปรึกษาโครงการจัดทำข้อเสนอแนะ
มาตรการ หรือแนวทางในการเพิ่มประสิทธิภาพ
การปฏิบัติงานตามพระราชบัญญัติสัญชาติ 
(ฉบับที่ 5) พ.ศ.2555 เพื่อส่งเสริมและคุ้มครอง
สิทธิมนุษยชน งวดที่ 3
</t>
    </r>
    <r>
      <rPr>
        <b/>
        <sz val="13"/>
        <color indexed="10"/>
        <rFont val="Angsana New"/>
        <family val="1"/>
      </rPr>
      <t xml:space="preserve">งบประมาณทั้งสิ้น 500,000.00 บาท </t>
    </r>
  </si>
  <si>
    <r>
      <t xml:space="preserve">ตามสัญญาจ้างที่ปรึกษา เลขที่ 159/2564 
ตกลงจ้างที่ปรึกษาโครงการจัดทำข้อเสนอแนะ
มาตรการ หรือแนวทางในการเพิ่มประสิทธิภาพ
การปฏิบัติงานตามพระราชบัญญัติสัญชาติ 
(ฉบับที่ 5) พ.ศ.2555 เพื่อส่งเสริมและคุ้มครอง
สิทธิมนุษยชน เงินประกันผลงานงวดที่ 1-3
</t>
    </r>
    <r>
      <rPr>
        <b/>
        <sz val="13"/>
        <color indexed="10"/>
        <rFont val="Angsana New"/>
        <family val="1"/>
      </rPr>
      <t xml:space="preserve">งบประมาณทั้งสิ้น 500,000.00 บาท </t>
    </r>
  </si>
  <si>
    <r>
      <t xml:space="preserve">ทุนสนับสนุนการวิจัย เรื่อง การเสริมสร้าง
ศักยภาพเยาวชนเพื่อลดความเหลื่อมล้าทาง
เศรษฐกิจ การศึกษา และวัฒนธรรมโดยการมี
ส่วนร่วมของเครือข่ายพลังทางสังคมของท้องถิ่น
ในบริบทพหุวัฒนธรรมชายแดนใต้ 
</t>
    </r>
    <r>
      <rPr>
        <b/>
        <sz val="13"/>
        <color indexed="10"/>
        <rFont val="Angsana New"/>
        <family val="1"/>
      </rPr>
      <t>งบประมาณทั้งสิ้น 600,000 บาท</t>
    </r>
  </si>
  <si>
    <r>
      <t xml:space="preserve">ทุนสนับสนุนการวิจัย เรื่อง การรักษาสืบสาน
การเล่นกลองบานอร่วมสมัยของเยาวชน
มลายูมุสลิมโดยชุมชนเครือข่ายบานอ
จังหวัดนราธิวาสเพื่อลดความเหลื่อมล้า
ด้านวัฒนธรรม 
</t>
    </r>
    <r>
      <rPr>
        <b/>
        <sz val="13"/>
        <color indexed="10"/>
        <rFont val="Angsana New"/>
        <family val="1"/>
      </rPr>
      <t xml:space="preserve">งบประมาณทั้งสิ้น 341,900 บาท </t>
    </r>
  </si>
  <si>
    <r>
      <t xml:space="preserve">ตามใบสั่งจ้างเลขที่ 496/2564 สำหรับเงินจ้าง
สำรวจความพึงพอใจของผู้รับบริการที่มีต่อ
การให้บริการสาธารณะของเทศบาลตำบล
สะบ้าย้อย งวดที่ 1
</t>
    </r>
    <r>
      <rPr>
        <b/>
        <sz val="13"/>
        <color indexed="10"/>
        <rFont val="Angsana New"/>
        <family val="1"/>
      </rPr>
      <t xml:space="preserve">งบประมาณทั้งสิ้น 20,000 บาท </t>
    </r>
  </si>
  <si>
    <r>
      <t xml:space="preserve">ตามสัญญาจ้างผู้เชี่ยวชาญรายบุคคลหรือ
จ้างบริษัทที่ปรึกษา เลขที่ 0004/2564 
โครงการสำรวจความพึงพอใจของผู้รับบริการ
ที่มีต่อการให้บริการสาธารณะขององค์การบริการส่วนจังหวัดภูเก็ต ประจำปีงบประมาณ 
พ.ศ.2564 งวดที่ 2
</t>
    </r>
    <r>
      <rPr>
        <b/>
        <sz val="13"/>
        <color indexed="10"/>
        <rFont val="Angsana New"/>
        <family val="1"/>
      </rPr>
      <t xml:space="preserve">วงเงินตามสัญญา 79,092.00 บาท </t>
    </r>
  </si>
  <si>
    <r>
      <t xml:space="preserve">ตามใบสั่งจ้างเลขที่ 496/2564 สำหรับเงินจ้าง
สำรวจความพึงพอใจของผู้รับบริการที่มีต่อ
การให้บริการสาธารณะของเทศบาลตำบล
สะบ้าย้อย งวดที่ 2
</t>
    </r>
    <r>
      <rPr>
        <b/>
        <sz val="13"/>
        <color indexed="10"/>
        <rFont val="Angsana New"/>
        <family val="1"/>
      </rPr>
      <t xml:space="preserve">งบประมาณทั้งสิ้น 20,000 บาท </t>
    </r>
  </si>
  <si>
    <r>
      <t xml:space="preserve">ตามสัญญาจ้างโครงการรหัส 64-00223-0022 
ของโครงการวิจัย บทบาทของนักข่าวพลเมือง
บนสือสังคมกับการเฝ้าระวังปัญหาการใช้
ยาเสพติดของนักเรียนในโรงเรียนขนาดเล็ก
บริเวณพื้นที่ชายแดนไทย-มาเลเซีย งวดที่ 1 </t>
    </r>
    <r>
      <rPr>
        <b/>
        <sz val="13"/>
        <color indexed="10"/>
        <rFont val="Angsana New"/>
        <family val="1"/>
      </rPr>
      <t>งบประมาณทั้งสิ้น 183,932.00 บาท</t>
    </r>
    <r>
      <rPr>
        <sz val="13"/>
        <color indexed="8"/>
        <rFont val="Angsana New"/>
        <family val="1"/>
      </rPr>
      <t xml:space="preserve"> </t>
    </r>
  </si>
  <si>
    <r>
      <t xml:space="preserve">โครงการทุนพัฒนาศักยภาพในการทำงาน
วิจัยของอาจารย์รุ่นใหม่ ปีงบประมาณ 2565 : 
สัญญาเลขที่ RGNS 64-086 งานวิจัยเรื่อง 
การพัฒนารูปแบบการบริการสารสนเทศ
ห้องสมุดมหาวิทยาลัยในกำกับของรัฐใน
จังหวัดภาคใต้ งวดที่ 1
</t>
    </r>
    <r>
      <rPr>
        <b/>
        <sz val="13"/>
        <color indexed="10"/>
        <rFont val="Angsana New"/>
        <family val="1"/>
      </rPr>
      <t>งบประมาณทั้งสิ้น 360,000.00 บาท</t>
    </r>
  </si>
  <si>
    <r>
      <t xml:space="preserve">ตามบันทึกข้อตกลงความร่วมมือ โครงการ
ใช้เทคโนโลยีและนวัตกรรมเพื่อการบริหาร
จัดการฟาร์ม และสร้างความเป็นอัตลักษณ์
ให้กับผลิตภัณฑ์ปศุสัตว์ภาคใต้ชายแดน 
ปีงบประมาณ พ.ศ.2565 งวดที่ 1  
</t>
    </r>
    <r>
      <rPr>
        <b/>
        <sz val="13"/>
        <color indexed="10"/>
        <rFont val="Angsana New"/>
        <family val="1"/>
      </rPr>
      <t>งบประมาณทั้งสิ้น 1,610,000.00 บาท</t>
    </r>
  </si>
  <si>
    <r>
      <t xml:space="preserve">ตามสัญญาเลขที่ 20/2565 สัญญาจ้าง
ผู้เชี่ยวชาญรายบุคคลหรือจ้างบริษัทที่ปรึกษา 
ว่าจ้างที่ปรึกษาปฏิบัติงานดำเนินกิจกรรม
ศึกษาวิเคราะห์ผลกระทบจากการดำเนินงาน
โครงการของศูนย์อำนวยการบริหารจังหวัด
ชายแดนภาคใต้ (วิธีเฉพาะเจาะจง) งวดที่ 1 
</t>
    </r>
    <r>
      <rPr>
        <b/>
        <sz val="13"/>
        <color indexed="10"/>
        <rFont val="Angsana New"/>
        <family val="1"/>
      </rPr>
      <t>วงเงินงบประมาณทั้งสิ้น 2,789,000 บาท</t>
    </r>
  </si>
  <si>
    <r>
      <t xml:space="preserve">ตามสัญญารับทุนอุดหนุนการวิจัยและ
นวัตกรรม เรื่องการพัฒนาทักษะผู้ประกอบการ
ที่ขับเคลื่อนโดยนวัตกรรมของนักเรียนกลุ่ม
เปราะบางในจังหวัดปัตตานี งวดที่ 1
</t>
    </r>
    <r>
      <rPr>
        <b/>
        <sz val="13"/>
        <color indexed="10"/>
        <rFont val="Angsana New"/>
        <family val="1"/>
      </rPr>
      <t>งบประมาณทั้งสิ้น 735,240 บาท</t>
    </r>
    <r>
      <rPr>
        <sz val="13"/>
        <color indexed="8"/>
        <rFont val="Angsana New"/>
        <family val="1"/>
      </rPr>
      <t xml:space="preserve">  </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</si>
  <si>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ภายใต้แผนงาน ตัวแบบเชิง
ธุรกิจเพื่อสร้างเศรษฐกิจฐานรากรองรับการ
เปลี่ยนแปลงและวิกฤตด้านเศรษฐกิจ 
โปรแกรม 17 แก้ปัญหาวิกฤตเร่งด่วนของ
ประเทศอื่น ๆ งวดที่ 1 
</t>
    </r>
    <r>
      <rPr>
        <b/>
        <sz val="13"/>
        <color indexed="10"/>
        <rFont val="Angsana New"/>
        <family val="1"/>
      </rPr>
      <t>งบประมาณทั้งสิ้น 3,500,000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</si>
  <si>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3 แบบ
จำลองธุรกิจแบบจับคู่ค้าของผลิตภัณฑ์กาบ
หมากแบรนด์ กาหลง สำหรับผู้บริโภคกลุ่ม
ยึดมั่นความเป็นมิตรกับสิ่งแวดล้อม งวดที่ 1 </t>
    </r>
    <r>
      <rPr>
        <b/>
        <sz val="13"/>
        <color indexed="10"/>
        <rFont val="Angsana New"/>
        <family val="1"/>
      </rPr>
      <t>งบประมาณโครงการทั้งสิ้น 1,248,300 บ.</t>
    </r>
  </si>
  <si>
    <r>
      <t xml:space="preserve">ตามบันทึกข้อตกลงความร่วมมือ โครงการใช้
เทคโนโลยีและนวัตกรรมเพื่อการบริหารจัดการ
ฟาร์ม และสร้างความเป็นอัตลักษณ์ให้กับ
ผลิตภัณฑ์ปศุสัตว์ภาคใต้ชายแดน 
ปีงบประมาณ พ.ศ.2565 งวดที่ 2 
</t>
    </r>
    <r>
      <rPr>
        <b/>
        <sz val="13"/>
        <color indexed="10"/>
        <rFont val="Angsana New"/>
        <family val="1"/>
      </rPr>
      <t xml:space="preserve">งบประมาณทั้งสิ้น 1,610,000.00 บาท </t>
    </r>
  </si>
  <si>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โครงการย่อยที่ 2 การยกระดับรายได้คนจน
อำเภอควนขนุน จังหวัดพัทลุง ด้วยโมเดล 
อำเภอกระจูดแก้จน งวดที่ 1
</t>
    </r>
    <r>
      <rPr>
        <b/>
        <sz val="13"/>
        <color indexed="10"/>
        <rFont val="Angsana New"/>
        <family val="1"/>
      </rPr>
      <t>งบประมาณทั้งสิ้น 1,665,364 บาท</t>
    </r>
    <r>
      <rPr>
        <sz val="13"/>
        <color indexed="8"/>
        <rFont val="Angsana New"/>
        <family val="1"/>
      </rPr>
      <t xml:space="preserve"> </t>
    </r>
  </si>
  <si>
    <r>
      <t xml:space="preserve">ตามสัญญาจ้างโครงการรหัส 64-00223-0022 
ของโครงการวิจัย บทบาทของนักข่าวพลเมือง
บนสือสังคมกับการเฝ้าระวังปัญหาการใช้
ยาเสพติดของนักเรียนในโรงเรียนขนาดเล็ก
บริเวณพื้นที่ชายแดนไทย-มาเลเซีย งวดที่ 2 </t>
    </r>
    <r>
      <rPr>
        <b/>
        <sz val="13"/>
        <color indexed="10"/>
        <rFont val="Angsana New"/>
        <family val="1"/>
      </rPr>
      <t xml:space="preserve">งบประมาณทั้งสิ้น 183,932.00 บาท </t>
    </r>
  </si>
  <si>
    <r>
      <t xml:space="preserve">ตามสัญญาเลขที่ 20/2565 สัญญาจ้าง
ผู้เชี่ยวชาญรายบุคคลหรือจ้างบริษัทที่ปรึกษา 
ว่าจ้างที่ปรึกษาปฏิบัติงานดำเนินกิจกรรม
ศึกษาวิเคราะห์ผลกระทบจากการดำเนินงาน
โครงการของศูนย์อำนวยการบริหารจังหวัด
ชายแดนภาคใต้ (วิธีเฉพาะเจาะจง) งวดที่ 2 
</t>
    </r>
    <r>
      <rPr>
        <b/>
        <sz val="13"/>
        <color indexed="10"/>
        <rFont val="Angsana New"/>
        <family val="1"/>
      </rPr>
      <t>วงเงินงบประมาณทั้งสิ้น 2,789,000 บาท</t>
    </r>
  </si>
  <si>
    <r>
      <t xml:space="preserve">ตามสัญญารับทุนอุดหนุนการวิจัยและ
นวัตกรรม เรื่องการพัฒนาทักษะผู้ประกอบการ
ที่ขับเคลื่อนโดยนวัตกรรมของนักเรียนกลุ่ม
เปราะบางในจังหวัดปัตตานี งวดที่ 2
</t>
    </r>
    <r>
      <rPr>
        <b/>
        <sz val="13"/>
        <color indexed="10"/>
        <rFont val="Angsana New"/>
        <family val="1"/>
      </rPr>
      <t>งบประมาณทั้งสิ้น 735,240 บาท</t>
    </r>
    <r>
      <rPr>
        <sz val="13"/>
        <color indexed="8"/>
        <rFont val="Angsana New"/>
        <family val="1"/>
      </rPr>
      <t xml:space="preserve">  </t>
    </r>
  </si>
  <si>
    <r>
      <t xml:space="preserve">ตามสัญญาจ้างผู้เชี่ยวชาญรายบุคคลหรือ
จ้างที่บริษัทที่ปรึกษา เลขที่ 77/2565 
ได้ว่าจ้างที่ปรึกษาปฏิบัติงานตามโครงการ 
ดำเนินการจ้างที่ปรึกษา กิจกรรมการศึกษา 
วิจัยและประเมินผลการปฏิบัติงานประจำปี
งบประมาณ พ.ศ.2565 ภายใต้แผนบูรณาการ
ขับเคลื่อนการแก้ไขปัญหาจังหวัดชายแดน
ภาคใต้ พ.ศ.2565 งวดที่ 1
</t>
    </r>
    <r>
      <rPr>
        <b/>
        <sz val="13"/>
        <color indexed="10"/>
        <rFont val="Angsana New"/>
        <family val="1"/>
      </rPr>
      <t xml:space="preserve">งบประมาณทั้งสิ้น 1,645,322.00 บาท </t>
    </r>
  </si>
  <si>
    <r>
      <t xml:space="preserve">ตามสัญญาเลขที่ 20/2565 สัญญาจ้าง
ผู้เชี่ยวชาญรายบุคคลหรือจ้างบริษัทที่ปรึกษา 
ว่าจ้างที่ปรึกษาปฏิบัติงานดำเนินกิจกรรม
ศึกษาวิเคราะห์ผลกระทบจากการดำเนินงาน
โครงการของศูนย์อำนวยการบริหารจังหวัด
ชายแดนภาคใต้ (วิธีเฉพาะเจาะจง) งวดที่ 3 
</t>
    </r>
    <r>
      <rPr>
        <b/>
        <sz val="13"/>
        <color indexed="10"/>
        <rFont val="Angsana New"/>
        <family val="1"/>
      </rPr>
      <t>วงเงินงบประมาณทั้งสิ้น 2,789,000 บาท</t>
    </r>
  </si>
  <si>
    <r>
      <t xml:space="preserve">ตามสัญญาเลขที่ 20/2565 สัญญาจ้าง
ผู้เชี่ยวชาญรายบุคคลหรือจ้างบริษัทที่ปรึกษา 
ว่าจ้างที่ปรึกษาปฏิบัติงานดำเนินกิจกรรม
ศึกษาวิเคราะห์ผลกระทบจากการดำเนินงาน
โครงการของศูนย์อำนวยการบริหารจังหวัด
ชายแดนภาคใต้ (วิธีเฉพาะเจาะจง) 
เงินประกันผลงานงวดที่ 2
</t>
    </r>
    <r>
      <rPr>
        <b/>
        <sz val="13"/>
        <color indexed="10"/>
        <rFont val="Angsana New"/>
        <family val="1"/>
      </rPr>
      <t>วงเงินงบประมาณทั้งสิ้น 2,789,000 บาท</t>
    </r>
  </si>
  <si>
    <r>
      <t xml:space="preserve">ตามสัญญาเลขที่ 20/2565 สัญญาจ้าง
ผู้เชี่ยวชาญรายบุคคลหรือจ้างบริษัทที่ปรึกษา 
ว่าจ้างที่ปรึกษาปฏิบัติงานดำเนินกิจกรรม
ศึกษาวิเคราะห์ผลกระทบจากการดำเนินงาน
โครงการของศูนย์อำนวยการบริหารจังหวัด
ชายแดนภาคใต้ (วิธีเฉพาะเจาะจง) 
เงินประกันผลงานงวดที่ 3
</t>
    </r>
    <r>
      <rPr>
        <b/>
        <sz val="13"/>
        <color indexed="10"/>
        <rFont val="Angsana New"/>
        <family val="1"/>
      </rPr>
      <t>วงเงินงบประมาณทั้งสิ้น 2,789,000 บาท</t>
    </r>
  </si>
  <si>
    <r>
      <t xml:space="preserve">ตามสัญญาเลขที่ 20/2565 สัญญาจ้าง
ผู้เชี่ยวชาญรายบุคคลหรือจ้างบริษัทที่ปรึกษา 
ว่าจ้างที่ปรึกษาปฏิบัติงานดำเนินกิจกรรม
ศึกษาวิเคราะห์ผลกระทบจากการดำเนินงาน
โครงการของศูนย์อำนวยการบริหารจังหวัด
ชายแดนภาคใต้ (วิธีเฉพาะเจาะจง) 
เงินประกันผลงานงวดที่ 1
</t>
    </r>
    <r>
      <rPr>
        <b/>
        <sz val="13"/>
        <color indexed="10"/>
        <rFont val="Angsana New"/>
        <family val="1"/>
      </rPr>
      <t>วงเงินงบประมาณทั้งสิ้น 2,789,000 บาท</t>
    </r>
  </si>
  <si>
    <r>
      <t xml:space="preserve">ตามข้อตกลงเลขที่ สวรส.64-197 สนับสนุน
ทุนวิจัย โครงการปัจจัยที่สัมพันธ์กับการคงอยู่
ในวิชาชีพของพยาบาล และการพัฒนา
ข้อเสนอเชิงนโยบายในการส่งเสริมการคงอยู่
ในวิชาชีพพยาบาลในสถานการณ์การแพร่ระบาดของโรคโควิด 19 งวดที่ 2
</t>
    </r>
    <r>
      <rPr>
        <b/>
        <sz val="13"/>
        <color indexed="10"/>
        <rFont val="Angsana New"/>
        <family val="1"/>
      </rPr>
      <t xml:space="preserve">งบประมาณทั้งสิ้น 681,978.00 บาท </t>
    </r>
  </si>
  <si>
    <r>
      <t xml:space="preserve">ตามสัญญารับทุนอุดหนุนการวิจัยและ
นวัตกรรม เลขที่ วช.อว.(อ)(ภอ)/32/2564 
งานวิจัยเรื่อง การประยุกต์ใช้โมเดลพยากรณ์
และระบบการติดตามด้วยระบบสารสนเทศ
ภูมิศาสตร์ จากผลกระทบของวิกฤต
สถานการณ์ของโรคติดเชื้อไวรัสโคโรนา 2019 
(COVID-19)ต่อความมั่นคงทางอาหาร งวดที่ 4 </t>
    </r>
    <r>
      <rPr>
        <b/>
        <sz val="13"/>
        <color indexed="10"/>
        <rFont val="Angsana New"/>
        <family val="1"/>
      </rPr>
      <t>วงเงินงบประมาณทั้งสิ้น 671,000 บาท</t>
    </r>
    <r>
      <rPr>
        <sz val="13"/>
        <color indexed="10"/>
        <rFont val="Angsana New"/>
        <family val="1"/>
      </rPr>
      <t xml:space="preserve"> </t>
    </r>
  </si>
  <si>
    <r>
      <t xml:space="preserve">เงินสนับสนุนการวิจัยจากประเทศสิงคโปร์ 
เรื่อง Analysis of Astaxanthin Efficiency in 
White Shrimp 
</t>
    </r>
    <r>
      <rPr>
        <b/>
        <sz val="13"/>
        <color indexed="10"/>
        <rFont val="Angsana New"/>
        <family val="1"/>
      </rPr>
      <t>งบประมาณทั้งสิ้น 490,400.00 บาท</t>
    </r>
  </si>
  <si>
    <r>
      <t xml:space="preserve">เงินสนับสนุนการวิจัย โครงการวิจัยเรื่อง 
ผลของกากถั่วเหลืองหมักในการเสริมอาหารกุ้ง
ในระดับต่าง ๆ เพื่อศึกษาผลการเจริญเติบโต 
ประสิทธิภาพการใช้อาหาร อัตราการรอดตาย
และการเปลี่ยนแปลงทางพยาธิสภาพ 
(Histopathology) 
</t>
    </r>
    <r>
      <rPr>
        <b/>
        <sz val="13"/>
        <color indexed="10"/>
        <rFont val="Angsana New"/>
        <family val="1"/>
      </rPr>
      <t>งบประมาณทั้งสิ้น 18,000 บาท</t>
    </r>
    <r>
      <rPr>
        <sz val="13"/>
        <color indexed="10"/>
        <rFont val="Angsana New"/>
        <family val="1"/>
      </rPr>
      <t xml:space="preserve"> </t>
    </r>
  </si>
  <si>
    <r>
      <t xml:space="preserve">สัญญาให้ทุนอุดหนุนโครงการวิจัย พัฒนาและวิศวกรรม เลขที่ FDA-CO-2561-5830-TH  
เรื่อง การพัฒนาตัวเร่งปฏิกิริยาเพื่อเซล
เชื้อเพลิงเอทานอลโดยไม่ใช้เยื่อเลือกผ่าน </t>
    </r>
    <r>
      <rPr>
        <b/>
        <sz val="13"/>
        <color indexed="8"/>
        <rFont val="Angsana New"/>
        <family val="1"/>
      </rPr>
      <t xml:space="preserve">งบประมาณทั้งโครงการ 250,000 บาท </t>
    </r>
  </si>
  <si>
    <r>
      <t xml:space="preserve">โครงการทุนพัฒนาศักยภาพในการทำงาน
วิจัยของอาจารย์รุ่นใหม่ ปีงบประมาณ 2565 : สัญญาเลขที่ RGNS 64-087 งานวิจัยเรื่อง 
การย่อยสลายยาปฏิชีวนะเบตาแลคแตมที่ตกค้างในมูลสุกรและผลิตกระแสไฟฟ้าด้วย
เซลล์เชื้อเพลิงจุลินทรีย์ต้นทุนต่ำรูปแบบใหม่
ที่แบคทีเรียที่ผลิตเอนไซน์แลคเคสเป็นตัวเร่งปฏิกริยา 
</t>
    </r>
    <r>
      <rPr>
        <b/>
        <sz val="13"/>
        <color indexed="10"/>
        <rFont val="Angsana New"/>
        <family val="1"/>
      </rPr>
      <t>งบประมาณทั้งสิ้น 600,000.00 บาท</t>
    </r>
  </si>
  <si>
    <r>
      <t xml:space="preserve">ทุนอุดหนุนการทำกิจกรรมส่งเสริมและ
สนับสนุนการวิจัยและนวัตกรรม เรื่อง 
การเพาะเลี้ยงปลาก้างพระร่วง (Kryptopterus Vitreolus) ในโรงเพาะฟัก และการพัฒนาเป็น
ปลาสวยงามเพื่อการส่งออก งวดที่ 3
</t>
    </r>
    <r>
      <rPr>
        <b/>
        <sz val="13"/>
        <color indexed="10"/>
        <rFont val="Angsana New"/>
        <family val="1"/>
      </rPr>
      <t>วงเงินทั้งสิ้น 550,000 บาท</t>
    </r>
  </si>
  <si>
    <r>
      <t xml:space="preserve">สัญญารับงบประมาณสนับสนุนความร่วมมือ
วิจัยภายใต้โครงการ TINI to University 2565 : 
โครงการการผลิตกระแสไฟฟ้าและการบำบัด
ทางชีวภาพของน้ำเสียชุมชนด้วยระบบบึง
ประดิษฐ์ร่วมกับเซลล์เชื้อเพลิงจุลินทรีย์ที่ใช้
แบคทีเรียทนรังสีแกมมาเป็นตัวเร่งปฏิกิริยา
ชีวภาพ งวดที่ 1
</t>
    </r>
    <r>
      <rPr>
        <b/>
        <sz val="13"/>
        <color indexed="10"/>
        <rFont val="Angsana New"/>
        <family val="1"/>
      </rPr>
      <t xml:space="preserve">วงเงินงบประมาณทั้งสิ้น 50,000 บาท </t>
    </r>
  </si>
  <si>
    <r>
      <t xml:space="preserve">ข้อตกลงเลขที่ FDA-CO-2563-12853-TH 
สำหรับโครงการ กลูโคสเซนเซอร์ชนิดไม่ใช้
เอนไซม์ที่สร้างจากโครงสร้างนาโนคอปเปอร์
ออกไซด์ งวดที่ 2
</t>
    </r>
    <r>
      <rPr>
        <b/>
        <sz val="13"/>
        <color indexed="10"/>
        <rFont val="Angsana New"/>
        <family val="1"/>
      </rPr>
      <t xml:space="preserve">งบประมาณทั้งสิ้น 250,000.00 บาท </t>
    </r>
    <r>
      <rPr>
        <sz val="13"/>
        <color indexed="10"/>
        <rFont val="Angsana New"/>
        <family val="1"/>
      </rPr>
      <t xml:space="preserve">
(งบบริหารจัดการจำนวนเงิน 30,000 บ.)</t>
    </r>
  </si>
  <si>
    <r>
      <t xml:space="preserve">ตามสัญญาเลขที่ C10F640030 ซึ่งเป็นสัญญา
ร่วมทุนระหว่างบริษัท แคปแม็กซ์ จำกัด กับ
มหาวิทยาลัยทักษิณ โครงการการพัฒนาสูตร
อาหารเสริมที่เหมาะสมของเบต้ากลูแคนเพื่อ
เพิ่มประสิทธิภาพการยับยั้งการออกอาหาร
ของไวรัสโรคเริ่ม แผนงาน การขับเคลื่อน
เศรษฐกิจชีวภาพเศรษฐกิจหมุนเวียน-
เศรษฐกิจสีเขียว (BCG in Action) งวดที่ 2 </t>
    </r>
    <r>
      <rPr>
        <b/>
        <sz val="13"/>
        <color indexed="10"/>
        <rFont val="Angsana New"/>
        <family val="1"/>
      </rPr>
      <t xml:space="preserve">งบประมาณทั้งสิ้น 2,617,913 บาท </t>
    </r>
  </si>
  <si>
    <r>
      <t xml:space="preserve">ข้อตกลงร่วมที่ JRA-CO-2563-23089-TH 
ในโครงการวิจัยเรื่อง กลูโคสคัลเลอร์ริเมตริก
ไบโอนเซนเซอร์โดยอาศัยการเกิดสาร
ประกอบเชิงซ้อนระหว่างไอร์ออน (III) และ
ไทโอไซยาเนตไอออนจากปฏิกิริยาของเฟนตัน
งวดที่ 1 (งบบริหารจัดการ 30,000.00 บาท)
</t>
    </r>
    <r>
      <rPr>
        <b/>
        <sz val="13"/>
        <color indexed="10"/>
        <rFont val="Angsana New"/>
        <family val="1"/>
      </rPr>
      <t>วงเงินตามสัญญา 250,000 บาท</t>
    </r>
    <r>
      <rPr>
        <sz val="13"/>
        <color indexed="10"/>
        <rFont val="Angsana New"/>
        <family val="1"/>
      </rPr>
      <t xml:space="preserve">  </t>
    </r>
  </si>
  <si>
    <r>
      <t xml:space="preserve">เงินสนับสนุนการวิจัยเรื่อง Shrimp 
histological preparation and histological 
study งวดที่ 1
</t>
    </r>
    <r>
      <rPr>
        <b/>
        <sz val="13"/>
        <color indexed="10"/>
        <rFont val="Angsana New"/>
        <family val="1"/>
      </rPr>
      <t xml:space="preserve">งบประมาณทั้งสิ้น 201,250.00 บาท </t>
    </r>
  </si>
  <si>
    <r>
      <t xml:space="preserve">เงินสนับสนุนการวิจัยจากประเทศเยอรมัน 
เรื่อง The effects of phytase, glucanase, mannanase and xylanase and their 
mixture on grouth, carcass composition 
and nutrient digestibility in Nile tilapia 
Shrimp histological preparation and 
histological study
</t>
    </r>
    <r>
      <rPr>
        <b/>
        <sz val="13"/>
        <color indexed="10"/>
        <rFont val="Angsana New"/>
        <family val="1"/>
      </rPr>
      <t xml:space="preserve">งบประมาณทั้งสิ้น 500,000.00 บาท </t>
    </r>
  </si>
  <si>
    <r>
      <t xml:space="preserve">ทุนอุดหนุนการทำกิจกรรมส่งเสริมและ
สนับสนุนการวิจัยและนวัตกรรม เรื่อง 
การเพาะเลี้ยงปลาก้างพระร่วง (Kryptopterus 
Vitreolus) ในโรงเพาะฟัก และการพัฒนาเป็นปลาสวยงามเพื่อการส่งออก 
เงินประกันผลงานงวดที่ 1 - 3
</t>
    </r>
    <r>
      <rPr>
        <b/>
        <sz val="13"/>
        <color indexed="10"/>
        <rFont val="Angsana New"/>
        <family val="1"/>
      </rPr>
      <t>วงเงินทั้งสิ้น 550,000 บาท</t>
    </r>
  </si>
  <si>
    <r>
      <t xml:space="preserve">ตามสัญญาที่ N24A650528 สัญญารับทุน
อุดหนุนการทำกิจกรรมส่งเสริมและสนับสนุน
การวิจัยและนวัตกรรม เรื่อง การเพาะเลี้ยงปลา
ก้างพระร่วง (Kryptopterus Vitreolus) ใน
โรงเพาะฟัก และการพัฒนาเป็นปลาสวยงามเพื่อการส่งออก (ปีที่ 2) งวดที่ 1
</t>
    </r>
    <r>
      <rPr>
        <b/>
        <sz val="13"/>
        <color indexed="10"/>
        <rFont val="Angsana New"/>
        <family val="1"/>
      </rPr>
      <t xml:space="preserve">วงเงินทั้งสิ้น 420,000 บาท </t>
    </r>
  </si>
  <si>
    <r>
      <t xml:space="preserve">ตามสัญญารับทุนอุดหนุนการวิจัยและ
นวัตกรรม เรื่องเครือข่ายความร่วมมือระหว่าง
กลุ่มเกษตรกรสวนปาล์มน้ำมันและสถาน
ประกอบการในการพัฒนาการทำปาล์มน้ำมัน
คุณภาพมูลค่าสูง และการจัดการของเสียแบบ
หมุนเวียนและสร้างมูลค่า งวดที่ 1 
</t>
    </r>
    <r>
      <rPr>
        <b/>
        <sz val="13"/>
        <color indexed="10"/>
        <rFont val="Angsana New"/>
        <family val="1"/>
      </rPr>
      <t>งบประมาณทั้งสิ้น 700,000 บาท</t>
    </r>
    <r>
      <rPr>
        <sz val="13"/>
        <color indexed="8"/>
        <rFont val="Angsana New"/>
        <family val="1"/>
      </rPr>
      <t xml:space="preserve"> </t>
    </r>
  </si>
  <si>
    <r>
      <t xml:space="preserve">ตามสัญญาเลขที่ A13F650068 สัญญาให้ทุน
โครงการ การจัดการเครือข่ายเชิงพื้นที่ด้วยการ
สร้างนวัตกรรมการเรียนรู้บนฐานภูมิปัญญา
ท้องถิ่นเพื่อสร้างต้นแบบการพัฒนาชุมชนปลา
สามน้ำในพื้นที่ลุ่มน้ำทะเลสาบสงขลา ภายใต้
แผนงานชุมชนนวัตกรรมเพื่อการพัฒนาอย่าง
ยั่งยืนโปรแกรม 13 พัฒนานวัตกรรมสำหรับ
เศรษฐกิจฐานรากและชุมชนนวัตกรรมโดยใช้
วิทยาศาสตร์ วิจัยและนวัตกรรม แพลตฟอร์ม4 
การวิจัยและสร้างนวัตกรรม เพื่อการพัฒนาเชิง
พื้นที่และลดความเหลื่อมล้ำ งวดที่ 1
</t>
    </r>
    <r>
      <rPr>
        <b/>
        <sz val="13"/>
        <color indexed="10"/>
        <rFont val="Angsana New"/>
        <family val="1"/>
      </rPr>
      <t>งบประมาณทั้งสิ้น 4,000,000 บาท</t>
    </r>
    <r>
      <rPr>
        <sz val="13"/>
        <color indexed="8"/>
        <rFont val="Angsana New"/>
        <family val="1"/>
      </rPr>
      <t xml:space="preserve"> </t>
    </r>
  </si>
  <si>
    <r>
      <t xml:space="preserve">ตามสัญญาเลขที่ A13F650068 สัญญาให้ทุน
โครงการ การจัดการเครือข่ายเชิงพื้นที่ด้วยการ
สร้างนวัตกรรมการเรียนรู้บนฐานภูมิปัญญา
ท้องถิ่นเพื่อสร้างต้นแบบการพัฒนาชุมชนปลา
สามน้ำในพื้นที่ลุ่มน้ำทะเลสาบสงขลา : 
โครงการย่อยที่ 1 การจัดการอนุรักษ์ปลาสาม
น้ำของชุมชนในลุ่มน้ำทะเลสาบสงขลาอย่างมี
ส่วนร่วมด้วยเทคโนโลยีและนวัตกรรมทาง
สังคม งวดที่ 1 
</t>
    </r>
    <r>
      <rPr>
        <b/>
        <sz val="13"/>
        <color indexed="10"/>
        <rFont val="Angsana New"/>
        <family val="1"/>
      </rPr>
      <t>งบประมาณโครงการทั้งสิ้น 850,000 บาท</t>
    </r>
  </si>
  <si>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โครงการย่อยที่ 1 โมเดลแก้จนสวัสดิการชุมชน
เกื้อกูล : คนเมืองลุงไม่ทอดทิ้งกัน งวดที่ 1
</t>
    </r>
    <r>
      <rPr>
        <b/>
        <sz val="13"/>
        <color indexed="10"/>
        <rFont val="Angsana New"/>
        <family val="1"/>
      </rPr>
      <t>งบประมาณทั้งสิ้น 2,237,799 บาท</t>
    </r>
    <r>
      <rPr>
        <sz val="13"/>
        <color indexed="8"/>
        <rFont val="Angsana New"/>
        <family val="1"/>
      </rPr>
      <t xml:space="preserve"> </t>
    </r>
  </si>
  <si>
    <r>
      <t xml:space="preserve">ตามสัญญาเลขที่ TSU65-CIN002 สัญญา
รับทุนอุดหนุนการวิจัยจากงบประมาณ
เงินรายได้ กองทุนวิจัยมหาวิทยาลัยทักษิณ ประจำปีงบประมาณ 2565 โดยในสัญญา
ได้มีผู้ร่วมทุนสนับสนุนทุนวิจัยร่วมเรื่อง 
การพัฒนาผลิตภัณฑ์ต้นแบบสารสกัดเข้มข้น
เสริมอาหารเพาะเลี้ยงปลานิลจากวัสดุเหลือ
ทิ้ง จากการเพาะเลี้ยงเห็ดถั่งเช่าเชิงพาณิชย์ </t>
    </r>
    <r>
      <rPr>
        <b/>
        <sz val="13"/>
        <color indexed="10"/>
        <rFont val="Angsana New"/>
        <family val="1"/>
      </rPr>
      <t>วงเงินร่วมวิจัย 10,000 บาท</t>
    </r>
    <r>
      <rPr>
        <sz val="13"/>
        <color indexed="8"/>
        <rFont val="Angsana New"/>
        <family val="1"/>
      </rPr>
      <t xml:space="preserve"> </t>
    </r>
  </si>
  <si>
    <r>
      <t xml:space="preserve">ตามสัญญารับทุนอุดหนุนการวิจัยและ
นวัตกรรม เรื่องเครือข่ายความร่วมมือระหว่าง
กลุ่มเกษตรกรสวนปาล์มน้ำมันและสถาน
ประกอบการในการพัฒนาการทำปาล์มน้ำมัน
คุณภาพมูลค่าสูง และการจัดการของเสียแบบ
หมุนเวียนและสร้างมูลค่า งวดที่ 2 
</t>
    </r>
    <r>
      <rPr>
        <b/>
        <sz val="13"/>
        <color indexed="10"/>
        <rFont val="Angsana New"/>
        <family val="1"/>
      </rPr>
      <t>งบประมาณทั้งสิ้น 700,000 บาท</t>
    </r>
    <r>
      <rPr>
        <sz val="13"/>
        <color indexed="8"/>
        <rFont val="Angsana New"/>
        <family val="1"/>
      </rPr>
      <t xml:space="preserve"> </t>
    </r>
  </si>
  <si>
    <r>
      <t xml:space="preserve">ตามสัญญาที่ N24A650528 สัญญารับทุน
อุดหนุนการทำกิจกรรมส่งเสริมและสนับสนุน
การวิจัยและนวัตกรรม เรื่อง การเพาะเลี้ยงปลา
ก้างพระร่วง (Kryptopterus Vitreolus) ใน
โรงเพาะฟัก และการพัฒนาเป็นปลาสวยงามเพื่อการส่งออก (ปีที่ 2) งวดที่ 2
</t>
    </r>
    <r>
      <rPr>
        <b/>
        <sz val="13"/>
        <color indexed="10"/>
        <rFont val="Angsana New"/>
        <family val="1"/>
      </rPr>
      <t xml:space="preserve">วงเงินทั้งสิ้น 420,000 บาท </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</si>
  <si>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1 
การออกแบบและพัฒนากระบวนการขึ้นรูป
ภาชนะบรรจุอาหารจากกาบหมวก งวดที่ 1 </t>
    </r>
    <r>
      <rPr>
        <b/>
        <sz val="13"/>
        <color indexed="10"/>
        <rFont val="Angsana New"/>
        <family val="1"/>
      </rPr>
      <t>งบประมาณโครงการทั้งสิ้น 775,000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</si>
  <si>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2 การยืด
อายุวัตถุดิบและผลิตภัณฑ์จากกาบหมาก
ภายใต้แบรนด์ กาหลง โดยใช้เทคโนโลยี
ห้องอบความร้อนร่วม งวดที่ 1 
</t>
    </r>
    <r>
      <rPr>
        <b/>
        <sz val="13"/>
        <color indexed="10"/>
        <rFont val="Angsana New"/>
        <family val="1"/>
      </rPr>
      <t>งบประมาณโครงการทั้งสิ้น 844,200 บาท</t>
    </r>
  </si>
  <si>
    <r>
      <t xml:space="preserve">ตามสัญญาเลขที่ TSU65ECO001 สัญญารับ
ทุนอุดหนุนการวิจัยจากงบประมาณเงินรายได้ 
กองทุนวิจัยมหาวิทยาลัยทักษิณ ประจำปี
งบประมาณ 2565 โดยในสัญญาได้มีผู้ร่วมทุน
คือ บริษัท ณิชนันทน์การค้า ATK58 สนับสนุน
ทุนวิจัยร่วมเรื่อง การพัฒนาสารจับตัวใน
น้ำยางสำหรับเชิงพาณิชย์ 
</t>
    </r>
    <r>
      <rPr>
        <b/>
        <sz val="13"/>
        <color indexed="10"/>
        <rFont val="Angsana New"/>
        <family val="1"/>
      </rPr>
      <t>งบประมาณวิจัยร่วม 10,000 บาท 
(โดยงบประมาณการร่วมทุนได้รับการ
ยกเว้นค่าธรรมเนียมอุดหนุนสถาบัน)</t>
    </r>
  </si>
  <si>
    <r>
      <t xml:space="preserve">ตามสัญญาเลขที่ A13F650041 : สัญญา
ให้ทุนโครงการ โนรา การขับเคลื่อนเศรษฐกิจ
สร้างสรรค์บนพื้นที่ทางวัฒนธรรมลุ่มน้ำ
ทะเลสาบสงขลา ภายใต้แผนงาน การพัฒนา
พื้นที่ด้วยองค์ความรู้จากมหาวิทยาลัย 
โปรแกรม13 พัฒนานวัตกรรมสำหรับเศรษฐกิจ
ฐานรากและชุมชนนวัตกรรมโดยใช้
วิทยาศาสตร์ วิจัยและนวัตกรรมแพลตฟอร์ม 4 
การวิจัยและสร้างนวัตกรรม เพื่อการพัฒนาเชิง
พื้นที่และลดความเหลื่อมล้ำ งวดที่ 1
</t>
    </r>
    <r>
      <rPr>
        <b/>
        <sz val="13"/>
        <color indexed="10"/>
        <rFont val="Angsana New"/>
        <family val="1"/>
      </rPr>
      <t xml:space="preserve">งบประมาณทั้งสิ้น 1,500,000 บาท </t>
    </r>
  </si>
  <si>
    <r>
      <t xml:space="preserve">ตามสัญญารับทุนอุดหนุนการวิจัยและ
นวัตกรรม เรื่อง นวัตกรรมมรดกภูมิปัญญา
อาหารพื้นถิ่นสำรับลังกาสุกะจังหวัดชายแดน
ภาคใต้ งวดที่ 1
</t>
    </r>
    <r>
      <rPr>
        <b/>
        <sz val="13"/>
        <color indexed="10"/>
        <rFont val="Angsana New"/>
        <family val="1"/>
      </rPr>
      <t>งบประมาณทั้งสิ้น 530,000 บาท</t>
    </r>
    <r>
      <rPr>
        <sz val="13"/>
        <color indexed="8"/>
        <rFont val="Angsana New"/>
        <family val="1"/>
      </rPr>
      <t xml:space="preserve"> </t>
    </r>
  </si>
  <si>
    <r>
      <t xml:space="preserve">ตามสัญญารับทุนอุดหนุนการวิจัยและ
นวัตกรรม เรื่อง นวัตกรรมมรดกภูมิปัญญา
อาหารพื้นถิ่นสำรับลังกาสุกะจังหวัดชายแดน
ภาคใต้ งวดที่ 2
</t>
    </r>
    <r>
      <rPr>
        <b/>
        <sz val="13"/>
        <color indexed="10"/>
        <rFont val="Angsana New"/>
        <family val="1"/>
      </rPr>
      <t>งบประมาณทั้งสิ้น 530,000 บาท</t>
    </r>
    <r>
      <rPr>
        <sz val="13"/>
        <color indexed="8"/>
        <rFont val="Angsana New"/>
        <family val="1"/>
      </rPr>
      <t xml:space="preserve"> </t>
    </r>
  </si>
  <si>
    <r>
      <t xml:space="preserve">ทุนอุดหนุนดำเนินการวิจัยแผนงานวิจัยเรื่อง 
การสร้างชุมชนแห่งการเรียนรู้ครูประถมศึกษา 
เพื่อการพัฒนาทักษะการอ่านอกเขียนได้ 
การอ่านเชิงวิเคราะห์และจริยธรรม ด้านวินัย 
ด้านจิตอาสา เสียสละ และเห็นอก เห็นใจผู้อื่น 
โดยใช้บทอ่านหนังสือของพ่อ สำหรับเด็ก
ศึกษา (พระบาทสมเด็จพระปรมินทรภูมิพล- 
อดุลยเดช รัชกาลที่ 9) ในจังหวัดสงขลาและ
พัทลุง งวดที่ 2 
</t>
    </r>
    <r>
      <rPr>
        <b/>
        <sz val="13"/>
        <color indexed="10"/>
        <rFont val="Angsana New"/>
        <family val="1"/>
      </rPr>
      <t>วงเงินทั้งสิน 550,000 บาท</t>
    </r>
  </si>
  <si>
    <r>
      <t xml:space="preserve">ตามสัญญาจ้างผู้เชี่ยวชาญรายบุคคลหรือ
จ้างบริษัทที่ปรึกษา ดำเนินการโครงการ
ติดตามการดำเนินงานตามมาตรฐานสถาน
พัฒนาเด็กปฐมวัยแห่งชาติ ประจำปี
งบประมาณ 2564  งวดที่ 4
</t>
    </r>
    <r>
      <rPr>
        <b/>
        <sz val="13"/>
        <color indexed="10"/>
        <rFont val="Angsana New"/>
        <family val="1"/>
      </rPr>
      <t xml:space="preserve">วงเงินทั้งสิ้น 1,500,000 บาท </t>
    </r>
  </si>
  <si>
    <r>
      <t xml:space="preserve">ตามสัญญาจ้างผู้เชี่ยวชาญรายบุคคลหรือ
จ้างบริษัทที่ปรึกษา ดำเนินการโครงการ
ติดตามการดำเนินงานตามมาตรฐานสถาน
พัฒนาเด็กปฐมวัยแห่งชาติ ประจำปี
งบประมาณ 2564  เงินประกันผลงาน(งวดที่ 4) 
</t>
    </r>
    <r>
      <rPr>
        <b/>
        <sz val="13"/>
        <color indexed="10"/>
        <rFont val="Angsana New"/>
        <family val="1"/>
      </rPr>
      <t xml:space="preserve">วงเงินทั้งสิ้น 1,500,000 บาท </t>
    </r>
  </si>
  <si>
    <r>
      <t xml:space="preserve">ตามสัญญารับเงินอุดหนุน การดำเนินงานชุด
โครงการวิจัยเพื่อเผยแพร่และแลกเปลี่ยน
เรียนรู้องค์ความรู้เพื่อพัฒนาความลุ่มลึก
ผ่านชุมชนแห่งการเรียนรู้ทางวิชาชีพ งวดที่ 1
(Professiomal Learning Community:PLC) 
</t>
    </r>
    <r>
      <rPr>
        <b/>
        <sz val="13"/>
        <color indexed="10"/>
        <rFont val="Angsana New"/>
        <family val="1"/>
      </rPr>
      <t>งบประมาณทั้งสิ้น 160,000.00 บาท</t>
    </r>
    <r>
      <rPr>
        <sz val="13"/>
        <color indexed="10"/>
        <rFont val="Angsana New"/>
        <family val="1"/>
      </rPr>
      <t xml:space="preserve"> </t>
    </r>
  </si>
  <si>
    <r>
      <t xml:space="preserve">ทุนอุดหนุนดำเนินการวิจัยแผนงานวิจัย เรื่อง 
การบริหารจัดการหลักสูตรฐานสมรรถนะ
อาชีพสู่สถานประกอบการศูนย์การเรียนรู้
เศรษฐกิจพอเพียง โรงเรียนพื้นที่เกาะ จ.สตูล </t>
    </r>
    <r>
      <rPr>
        <b/>
        <sz val="13"/>
        <color indexed="10"/>
        <rFont val="Angsana New"/>
        <family val="1"/>
      </rPr>
      <t xml:space="preserve">งบประมาณทั้งสิ้น 500,000 บาท </t>
    </r>
  </si>
  <si>
    <r>
      <t xml:space="preserve">ตามสัญญาจ้างผู้เชี่ยวชาญรายบุคคลหรือ
จ้างบริษัทที่ปรึกษา ดำเนินการโครงการ
ติดตามการดำเนินงานตามมาตรฐานสถาน
พัฒนาเด็กปฐมวัยแห่งชาติ ประจำปี
งบประมาณ 2564 งวดที่ 1 (เงินประกันผลงาน)
</t>
    </r>
    <r>
      <rPr>
        <b/>
        <sz val="13"/>
        <color indexed="10"/>
        <rFont val="Angsana New"/>
        <family val="1"/>
      </rPr>
      <t xml:space="preserve">วงเงินทั้งสิ้น 1,500,000 บาท </t>
    </r>
  </si>
  <si>
    <r>
      <t xml:space="preserve">ตามสัญญาจ้างผู้เชี่ยวชาญรายบุคคลหรือ
จ้างบริษัทที่ปรึกษา ดำเนินการโครงการ
ติดตามการดำเนินงานตามมาตรฐานสถาน
พัฒนาเด็กปฐมวัยแห่งชาติ ประจำปี
งบประมาณ 2564 งวดที่ 2 (เงินประกันผลงาน)
</t>
    </r>
    <r>
      <rPr>
        <b/>
        <sz val="13"/>
        <color indexed="10"/>
        <rFont val="Angsana New"/>
        <family val="1"/>
      </rPr>
      <t xml:space="preserve">วงเงินทั้งสิ้น 1,500,000 บาท </t>
    </r>
  </si>
  <si>
    <r>
      <t xml:space="preserve">ตามสัญญาจ้างผู้เชี่ยวชาญรายบุคคลหรือ
จ้างบริษัทที่ปรึกษา ดำเนินการโครงการ
ติดตามการดำเนินงานตามมาตรฐานสถาน
พัฒนาเด็กปฐมวัยแห่งชาติ ประจำปี
งบประมาณ 2564 งวดที่ 3 (เงินประกันผลงาน)
</t>
    </r>
    <r>
      <rPr>
        <b/>
        <sz val="13"/>
        <color indexed="10"/>
        <rFont val="Angsana New"/>
        <family val="1"/>
      </rPr>
      <t xml:space="preserve">วงเงินทั้งสิ้น 1,500,000 บาท </t>
    </r>
  </si>
  <si>
    <r>
      <t xml:space="preserve">ตามสัญญาจ้างที่ปรึกษา เลขที่ กอ.5/2565  
ว่าจ้างที่ปรึกษาดำเนินการติดตามและ
ประเมินผลโครงการผลิตครูเพื่อพัฒนาท้องถิ่น 
ประจำปีงบประมาณ พ.ศ. 2564 (ปฏิบัติงาน 
เริ่ม 13/10/2564 ถึง 09/07/2565) งวดที่ 1
</t>
    </r>
    <r>
      <rPr>
        <b/>
        <sz val="13"/>
        <color indexed="10"/>
        <rFont val="Angsana New"/>
        <family val="1"/>
      </rPr>
      <t xml:space="preserve">วงเงินงบประมาณทั้งสิ้น 3,000,000 บาท </t>
    </r>
  </si>
  <si>
    <r>
      <t xml:space="preserve">ตามสัญญาจ้างที่ปรึกษา เลขที่ กอ.5/2565  
ว่าจ้างที่ปรึกษาดำเนินการติดตามและ
ประเมินผลโครงการผลิตครูเพื่อพัฒนาท้องถิ่น 
ประจำปีงบประมาณ พ.ศ. 2564 (ปฏิบัติงาน 
เริ่ม 13/10/2564 ถึง 09/07/2565) งวดที่ 2
</t>
    </r>
    <r>
      <rPr>
        <b/>
        <sz val="13"/>
        <color indexed="10"/>
        <rFont val="Angsana New"/>
        <family val="1"/>
      </rPr>
      <t xml:space="preserve">วงเงินงบประมาณทั้งสิ้น 3,000,000 บาท </t>
    </r>
  </si>
  <si>
    <r>
      <t xml:space="preserve">เงินสนับสนุนการวิจัยสถาบันในเครือข่าย
อุดมศึกษาภาคใต้ตอนล่าง เรื่อง โครงการ
พัฒนาคุณภาพการศึกษาและการพัฒนา
ท้องถิ่น โดยมีสถาบันอุดมศึกษาเป็นพี่เลี้ยง 
ประจำปีงบประมาณ 2565 งวดที่ 1
</t>
    </r>
    <r>
      <rPr>
        <b/>
        <sz val="13"/>
        <color indexed="10"/>
        <rFont val="Angsana New"/>
        <family val="1"/>
      </rPr>
      <t>งบประมาณทั้งสิ้น 476,000 บาท</t>
    </r>
    <r>
      <rPr>
        <sz val="13"/>
        <color indexed="8"/>
        <rFont val="Angsana New"/>
        <family val="1"/>
      </rPr>
      <t xml:space="preserve"> </t>
    </r>
  </si>
  <si>
    <r>
      <t xml:space="preserve">ตามรหัสโครงการ 4593395 ระบบบริหาร
จัดการตนเองเพื่อพัฒนาคุณภาพการศึกษา
ในพื้นที่นวัตกรรมการศึกษาจังหวัดสตูล ของมูลนิธิคลองโต๊ะเหล็มอะคาเดมี โดยได้มอบมหาวิทยาลัยทักษิณ ดำเนินการร่วมทุนวิจัยภายใต้โครงการย่อยที่ 3 การออกแบบวัดและ
ประเมินผลตามหลักสูตรฐานสมรรถนะใน
โรงเรียนนำร่องพื้นที่นวัตกรรมการศึกษา 
จ.สตูล งวดที่ 1 
</t>
    </r>
    <r>
      <rPr>
        <b/>
        <sz val="13"/>
        <color indexed="10"/>
        <rFont val="Angsana New"/>
        <family val="1"/>
      </rPr>
      <t xml:space="preserve">งบประมาณโครงการย่อย 499,000 บาท </t>
    </r>
  </si>
  <si>
    <r>
      <t xml:space="preserve">ตามใบสั่งจ้างเลขที่ สทศ.326/2563  สำหรับ
การจ้างการศึกษาวิจัยการออกแบบและ
พัฒนาหลักสูตรบูรณาการกับโครงการ
พระราชดำริฯ ที่เน้นกระบวนการจัดการเรียนรู้
และการวัด และประเมินผล (โรงเรียนตำรวจ
ตระเวนชายแดนบ้านชายควน) งวดที่ 2-3 
</t>
    </r>
    <r>
      <rPr>
        <b/>
        <sz val="13"/>
        <color indexed="10"/>
        <rFont val="Angsana New"/>
        <family val="1"/>
      </rPr>
      <t>งบสนับสนุนจำนวน 201,440 บาท</t>
    </r>
    <r>
      <rPr>
        <sz val="13"/>
        <color indexed="8"/>
        <rFont val="Angsana New"/>
        <family val="1"/>
      </rPr>
      <t xml:space="preserve">
</t>
    </r>
    <r>
      <rPr>
        <b/>
        <sz val="13"/>
        <color indexed="12"/>
        <rFont val="Angsana New"/>
        <family val="1"/>
      </rPr>
      <t>หมายเหตุ : มีค่าปรับลดเงินงวดจำนวน 32,028.96 บาท จากการส่งมอบงานไม่ตรง
ตามสัญญา</t>
    </r>
  </si>
  <si>
    <r>
      <t xml:space="preserve">เงินค่าธรรมเนียม ร้อยละ 10 ตามระเบียบ
คณะกรรมการการเงินและทรัพย์สิน ว่าด้วย
การบริหารจัดการทุนอุดหนุนการวิจัยจาก
แหล่งทุนภายนอก พ.ศ.2557 สำหรับทุนสนับสนุนงานวิจัย รื่อง โครงการวิจัยเชิง
ปฎิบัติการเพื่อพัฒนาครูและโรงเรียนตำรวจ
ตระเวนชายแดนในพื้นที่จังหวัดสงขลา ตรัง 
สตูล และพัทลุง ปี 2564 
(ระยะเวลาดำเนินงานสิงหาคม 2564 ถึง
เดือนกรกฎาคม 2565) 
</t>
    </r>
    <r>
      <rPr>
        <b/>
        <sz val="13"/>
        <color indexed="10"/>
        <rFont val="Angsana New"/>
        <family val="1"/>
      </rPr>
      <t xml:space="preserve">งบประมาณทั้งสิ้น 900,000 บาท </t>
    </r>
  </si>
  <si>
    <r>
      <t xml:space="preserve">ตามรหัสโครงการ 4593395 ระบบบริหาร
จัดการตนเองเพื่อพัฒนาคุณภาพการศึกษา
ในพื้นที่นวัตกรรมการศึกษาจังหวัดสตูล ของมูลนิธิคลองโต๊ะเหล็มอะคาเดมี โดยได้มอบมหาวิทยาลัยทักษิณ ดำเนินการร่วมทุนวิจัยภายใต้โครงการย่อยที่ 3 การออกแบบวัดและ
ประเมินผลตามหลักสูตรฐานสมรรถนะใน
โรงเรียนนำร่องพื้นที่นวัตกรรมการศึกษา 
จ.สตูล งวดที่ 2 
</t>
    </r>
    <r>
      <rPr>
        <b/>
        <sz val="13"/>
        <color indexed="10"/>
        <rFont val="Angsana New"/>
        <family val="1"/>
      </rPr>
      <t xml:space="preserve">งบประมาณโครงการย่อย 499,000 บาท </t>
    </r>
  </si>
  <si>
    <r>
      <t xml:space="preserve">เงินสนับสนุนการวิจัยสถาบันในเครือข่าย
อุดมศึกษาภาคใต้ตอนล่าง เรื่อง โครงการ
พัฒนาคุณภาพการศึกษาและการพัฒนา
ท้องถิ่น โดยมีสถาบันอุดมศึกษาเป็นพี่เลี้ยง 
ประจำปีงบประมาณ 2565 งวดที่ 2
</t>
    </r>
    <r>
      <rPr>
        <b/>
        <sz val="13"/>
        <color indexed="10"/>
        <rFont val="Angsana New"/>
        <family val="1"/>
      </rPr>
      <t>งบประมาณทั้งสิ้น 476,000 บาท</t>
    </r>
    <r>
      <rPr>
        <sz val="13"/>
        <color indexed="8"/>
        <rFont val="Angsana New"/>
        <family val="1"/>
      </rPr>
      <t xml:space="preserve"> </t>
    </r>
  </si>
  <si>
    <r>
      <t xml:space="preserve">ตามสัญญาจ้างที่ปรึกษา เลขที่ กอ.5/2565  
ว่าจ้างที่ปรึกษาดำเนินการติดตามและ
ประเมินผลโครงการผลิตครูเพื่อพัฒนาท้องถิ่น 
ประจำปีงบประมาณ พ.ศ. 2564 (ปฏิบัติงาน 
เริ่ม 13/10/2564 ถึง 09/07/2565) งวดที่ 3
</t>
    </r>
    <r>
      <rPr>
        <b/>
        <sz val="13"/>
        <color indexed="10"/>
        <rFont val="Angsana New"/>
        <family val="1"/>
      </rPr>
      <t xml:space="preserve">วงเงินงบประมาณทั้งสิ้น 3,000,000 บาท </t>
    </r>
  </si>
  <si>
    <r>
      <t xml:space="preserve">ตามสัญญาจ้างที่ปรึกษา เลขที่ กอ.5/2565  
ว่าจ้างที่ปรึกษาดำเนินการติดตามและ
ประเมินผลโครงการผลิตครูเพื่อพัฒนาท้องถิ่น 
ประจำปีงบประมาณ พ.ศ. 2564 (ปฏิบัติงาน 
เริ่ม 13/10/2564 ถึง 09/07/2565) 
เงินประกันผลงานงวดที่ 3
</t>
    </r>
    <r>
      <rPr>
        <b/>
        <sz val="13"/>
        <color indexed="10"/>
        <rFont val="Angsana New"/>
        <family val="1"/>
      </rPr>
      <t xml:space="preserve">วงเงินงบประมาณทั้งสิ้น 3,000,000 บาท </t>
    </r>
  </si>
  <si>
    <r>
      <t xml:space="preserve">เงินสนับสนุนการวิจัย เรื่อง การศึกษารูปแบบ
การจัดจำหน่ายสัตว์น้ำเศรษฐกิจที่โตไม่ได้
ขนาดในประเทศไทย 
</t>
    </r>
    <r>
      <rPr>
        <b/>
        <sz val="13"/>
        <color indexed="10"/>
        <rFont val="Angsana New"/>
        <family val="1"/>
      </rPr>
      <t>งบประมาณจำนวน 60,000 บาท</t>
    </r>
  </si>
  <si>
    <r>
      <t xml:space="preserve">ทุนอุดหนุนดำเนินการวิจัยแผนงานวิจัยเรื่อง 
สำรวจความพึงพอใจของประชาชนที่มีผล
ต่อการดำเนินงานขององค์กรปกครอง
ส่วนท้องถิ่น ประจำปีงบประมาณ 
พ.ศ.2561-2564 </t>
    </r>
    <r>
      <rPr>
        <b/>
        <sz val="13"/>
        <color indexed="10"/>
        <rFont val="Angsana New"/>
        <family val="1"/>
      </rPr>
      <t>(เงินประกันผลงาน)</t>
    </r>
  </si>
  <si>
    <r>
      <t xml:space="preserve">ตามสัญญาเลขที่ A13F650068 สัญญาให้ทุน
โครงการ การจัดการเครือข่ายเชิงพื้นที่ด้วยการ
สร้างนวัตกรรมการเรียนรู้บนฐานภูมิปัญญา
ท้องถิ่นเพื่อสร้างต้นแบบการพัฒนาชุมชนปลา
สามน้ำในพื้นที่ลุ่มน้ำทะเลสาบสงขลา : 
โครงการย่อยที่ 3 การจัดการตลาดเพื่อเพิ่ม
ศักยภาพผลิตภัณฑ์ปลาสามน้ำและการ
ท่องเที่ยวโดยชุมชนลุ่มน้ำทะเลสาบสงขลา 
งวดที่ 1 
</t>
    </r>
    <r>
      <rPr>
        <b/>
        <sz val="13"/>
        <color indexed="10"/>
        <rFont val="Angsana New"/>
        <family val="1"/>
      </rPr>
      <t>งบประมาณโครงการทั้งสิ้น 650,000 บาท</t>
    </r>
  </si>
  <si>
    <r>
      <t>ทุนอุดหนุนดำเนินการวิจัยเรื่อง การวิเคราะห์
พฤติกรรมผู้บริโภคซอสกะปิเคยนิคะ
ในประเทศไทย (ระยะเวลาในการดำเนินงาน
วิจัย 1 กรกฎาคม 2565 ถึง 30 กันยายน 2565)</t>
    </r>
    <r>
      <rPr>
        <b/>
        <sz val="13"/>
        <color indexed="10"/>
        <rFont val="Angsana New"/>
        <family val="1"/>
      </rPr>
      <t xml:space="preserve">งบประมาณทั้งสิ้น 18,7920 บาท </t>
    </r>
  </si>
  <si>
    <r>
      <t xml:space="preserve">ตามสัญญาเลขที่ A13F640040 ของ สัญญา
ให้ทุนโครงการ การจัดการเชิงพื้นที่ด้วย
นวัตกรรมเพื่อเพิ่มประสิทธิภาพการผลิตและ
ยกระดับผลิตภัณฑ์ปลาสามน้ำในเขตพื้นที่
ลุ่มทะเลสาบสงขลา งวดที่ 2 
</t>
    </r>
    <r>
      <rPr>
        <b/>
        <sz val="13"/>
        <color indexed="10"/>
        <rFont val="Angsana New"/>
        <family val="1"/>
      </rPr>
      <t xml:space="preserve">งบประมาณทั้งสิ้น 4,828,000 บาท </t>
    </r>
    <r>
      <rPr>
        <sz val="13"/>
        <color indexed="8"/>
        <rFont val="Angsana New"/>
        <family val="1"/>
      </rPr>
      <t xml:space="preserve"> 
</t>
    </r>
    <r>
      <rPr>
        <b/>
        <sz val="13"/>
        <color indexed="10"/>
        <rFont val="Angsana New"/>
        <family val="1"/>
      </rPr>
      <t>หมายเหตุ : งวดที่ 1 = 2,385,900 บาท ไม่ได้นำส่งมหาวิทยาลัย</t>
    </r>
  </si>
  <si>
    <r>
      <t xml:space="preserve">ตามสัญญาเลขที่ A13F650068 สัญญาให้ทุน
โครงการ การจัดการเครือข่ายเชิงพื้นที่ด้วยการ
สร้างนวัตกรรมการเรียนรู้บนฐานภูมิปัญญา
ท้องถิ่นเพื่อสร้างต้นแบบการพัฒนาชุมชนปลา
สามน้ำในพื้นที่ลุ่มน้ำทะเลสาบสงขลา : 
โครงการย่อยที่ 2 การจัดการกระบวนการผลิต
เพื่อลดต้นทุนและเพิ่มมูลค่าผลิตภัณฑ์ปลาสาม
น้ำด้วยเทคโนโลยีและนวัตกรรมในเขตพื้นที่ลุ่ม
ทะเลสาบสงขลา งวดที่ 1 
</t>
    </r>
    <r>
      <rPr>
        <b/>
        <sz val="13"/>
        <color indexed="10"/>
        <rFont val="Angsana New"/>
        <family val="1"/>
      </rPr>
      <t>งบประมาณโครงการทั้งสิ้น 500,000 บาท</t>
    </r>
  </si>
  <si>
    <r>
      <t>ตามสัญญาเลขที่ A14F640066 ของ สัญญา
ให้ทุนโครงการวิจัยและนวัตกรรมเพื่อแก้ไขปัญหาความยากจนอย่างเบ็ดเสร็จและแม่นยำในจังหวัดพัทลุง (</t>
    </r>
    <r>
      <rPr>
        <b/>
        <sz val="13"/>
        <color indexed="10"/>
        <rFont val="Angsana New"/>
        <family val="1"/>
      </rPr>
      <t>สำหรับงบลงทุน/ครุภัณฑ์)</t>
    </r>
    <r>
      <rPr>
        <sz val="13"/>
        <color indexed="8"/>
        <rFont val="Angsana New"/>
        <family val="1"/>
      </rPr>
      <t xml:space="preserve">
</t>
    </r>
    <r>
      <rPr>
        <b/>
        <sz val="13"/>
        <color indexed="8"/>
        <rFont val="Angsana New"/>
        <family val="1"/>
      </rPr>
      <t xml:space="preserve">งบประมาณทั้งสิ้น 7,700,000 บาท </t>
    </r>
    <r>
      <rPr>
        <sz val="13"/>
        <color indexed="8"/>
        <rFont val="Angsana New"/>
        <family val="1"/>
      </rPr>
      <t xml:space="preserve">
</t>
    </r>
    <r>
      <rPr>
        <b/>
        <sz val="13"/>
        <color indexed="10"/>
        <rFont val="Angsana New"/>
        <family val="1"/>
      </rPr>
      <t>หมายเหตุ : งวดที่ 1 = 2,364,000 บาท ไม่ได้นำส่งมหาวิทยาลัย</t>
    </r>
  </si>
  <si>
    <r>
      <t xml:space="preserve">ตามสัญญาจ้างที่ปรึกษา เลขที่ 88/2565 
ว่าจ้างที่ปรึกษาโครงการสำรวจจัดทำข้อมูล
และข้อเสนอในการแก้ไขปัญหาด้านสิทธิใน
สถานะบุคคลตามกฎหมายของประชากรที่ไม่
สามารถเข้าสู่กระบวนการขอรับรองความเป็น
คนไทยพลัดถิ่นในพื้นที่จังหวัดชุมพร ระนอง 
ประจวบคีรีขันธ์ และพังงา งวดที่ 1
</t>
    </r>
    <r>
      <rPr>
        <b/>
        <sz val="13"/>
        <color indexed="10"/>
        <rFont val="Angsana New"/>
        <family val="1"/>
      </rPr>
      <t>วงเงินงบประมาณทั้งสิ้น 500,000 บาท</t>
    </r>
    <r>
      <rPr>
        <sz val="13"/>
        <color indexed="8"/>
        <rFont val="Angsana New"/>
        <family val="1"/>
      </rPr>
      <t xml:space="preserve"> </t>
    </r>
  </si>
  <si>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t>
    </r>
    <r>
      <rPr>
        <b/>
        <sz val="13"/>
        <color indexed="8"/>
        <rFont val="Angsana New"/>
        <family val="1"/>
      </rPr>
      <t>(งบประมาณทั้งสิ้น 8,500,000 บาท)</t>
    </r>
    <r>
      <rPr>
        <sz val="13"/>
        <color indexed="8"/>
        <rFont val="Angsana New"/>
        <family val="1"/>
      </rPr>
      <t xml:space="preserve"> 
โดยแบ่งเป็นโครงการบริหารจัดการเพื่อแก้ไข
ปัญหาความยากจนระดับจังหวัดพัทลุง งวดที่ 1
</t>
    </r>
    <r>
      <rPr>
        <b/>
        <sz val="13"/>
        <color indexed="10"/>
        <rFont val="Angsana New"/>
        <family val="1"/>
      </rPr>
      <t>งบประมาณทั้งสิ้น 3,066,837 บาท</t>
    </r>
    <r>
      <rPr>
        <sz val="13"/>
        <color indexed="8"/>
        <rFont val="Angsana New"/>
        <family val="1"/>
      </rPr>
      <t xml:space="preserve"> </t>
    </r>
  </si>
  <si>
    <r>
      <t xml:space="preserve">เลขที่สัญญาTEBP003/2565 สัญญาจ้างวิจัย
โครงการ การพัฒนาเทคโนโลยีผลิตไบโอไฮเทค
จากวัสดุเศษเหลือภาคอุตสาหกรรมเกษตร
และกรดอะซิติกจากคาร์บอนไดออกไซต์ด้วย
กระบวนการหมักไร้อากาศสองขั้นตอนและ
การเปลี่ยนคาร์บอนไดออกไซต์เป็นกรด
อะซิติกด้วย Clostridium thailandense 
TISTR 2984 งวดที่ 1
</t>
    </r>
    <r>
      <rPr>
        <b/>
        <sz val="13"/>
        <color indexed="10"/>
        <rFont val="Angsana New"/>
        <family val="1"/>
      </rPr>
      <t>งบประมาณทั้งสิ้น 1,221,940 บาท</t>
    </r>
  </si>
  <si>
    <r>
      <t xml:space="preserve">เลขที่สัญญาTEBP003/2565 สัญญาจ้างวิจัย
โครงการ การพัฒนาเทคโนโลยีผลิตไบโอไฮเทค
จากวัสดุเศษเหลือภาคอุตสาหกรรมเกษตร
และกรดอะซิติกจากคาร์บอนไดออกไซต์ด้วย
กระบวนการหมักไร้อากาศสองขั้นตอนและ
การเปลี่ยนคาร์บอนไดออกไซต์เป็นกรด
อะซิติกด้วย Clostridium thailandense 
TISTR 2984 งวดที่ 2
</t>
    </r>
    <r>
      <rPr>
        <b/>
        <sz val="13"/>
        <color indexed="10"/>
        <rFont val="Angsana New"/>
        <family val="1"/>
      </rPr>
      <t>งบประมาณทั้งสิ้น 1,221,940 บาท</t>
    </r>
  </si>
  <si>
    <r>
      <t xml:space="preserve">เงินค่าธรรมเนียม ร้อยละ 10 ตามระเบียบคณะกรรมการการเงินและทรัพย์สิน ว่าด้วย
การบริหารจัดการทุนอุดหนุนการวิจัยจาก
แหล่งทุนภายนอก พ.ศ.2557 ตามสัญญา
เลขที่ กภท.10/2563 โครงการสำรวจ 
ทำสำเนาดิจิทัล และปริวัตรเอกสารโบราณตำรับยาและตำราการแพทย์แผนไทย 
กลุ่มจังหวัดภาคใต้ ปีที่ 2 
</t>
    </r>
    <r>
      <rPr>
        <b/>
        <sz val="13"/>
        <color indexed="10"/>
        <rFont val="Angsana New"/>
        <family val="1"/>
      </rPr>
      <t xml:space="preserve">ปีที่ 2 ทุนวิจัยทั้งหมด 922,108.00 บาท </t>
    </r>
    <r>
      <rPr>
        <sz val="13"/>
        <color indexed="8"/>
        <rFont val="Angsana New"/>
        <family val="1"/>
      </rPr>
      <t xml:space="preserve">
</t>
    </r>
    <r>
      <rPr>
        <b/>
        <sz val="13"/>
        <color indexed="10"/>
        <rFont val="Angsana New"/>
        <family val="1"/>
      </rPr>
      <t xml:space="preserve">รวมงบปีที่ 1-2 ทั้งหมด 2,426,600.00 บาท </t>
    </r>
  </si>
  <si>
    <t>01/03/2566</t>
  </si>
  <si>
    <t>PR2-2566:21/43</t>
  </si>
  <si>
    <t>RV00020900066030007</t>
  </si>
  <si>
    <t>03/01/2566</t>
  </si>
  <si>
    <t>PL2-2566:2/40</t>
  </si>
  <si>
    <t>RV00020900066010008</t>
  </si>
  <si>
    <t>ผศ.ดร.ธีรพร ทองขะโชค</t>
  </si>
  <si>
    <t>20/01/2566</t>
  </si>
  <si>
    <t>PR2-2565:14/28 
และ 
PR2-2566:14/29</t>
  </si>
  <si>
    <t>RV00020900066010217</t>
  </si>
  <si>
    <t>26/01/2566</t>
  </si>
  <si>
    <t>PR2-2566:15/17</t>
  </si>
  <si>
    <t>RV00020900066010281</t>
  </si>
  <si>
    <t>07/02/2566</t>
  </si>
  <si>
    <t>PR2-2566:17/21,
PR2-2566:17/22,
PR2-2566:17/25 
และ 
PR2-2566:17/24</t>
  </si>
  <si>
    <t>RV00020900066020078</t>
  </si>
  <si>
    <t>15/02/2566</t>
  </si>
  <si>
    <t>PR2-2566:18/23</t>
  </si>
  <si>
    <t>RV00020900066020211</t>
  </si>
  <si>
    <t>10/03/2566</t>
  </si>
  <si>
    <t>PR2-2566:22/16</t>
  </si>
  <si>
    <t>RV00020900066030051</t>
  </si>
  <si>
    <t>สำนักงานกองทุนสนับสนุนการสร้างเสริมสุขภาพ 
(สสส.)</t>
  </si>
  <si>
    <t>15/03/2566</t>
  </si>
  <si>
    <t>PR2-2566:22/50</t>
  </si>
  <si>
    <t>RV00020900066030124</t>
  </si>
  <si>
    <t>27/12/2565</t>
  </si>
  <si>
    <t>PR2-2566:10/8 22,551 บาท 
และ PR2-2566:10/9 39,447 บาท</t>
  </si>
  <si>
    <t>RV00020900066120339</t>
  </si>
  <si>
    <t>02/03/2566</t>
  </si>
  <si>
    <t>PR2-2566:21/50</t>
  </si>
  <si>
    <t>RV00020900066030028</t>
  </si>
  <si>
    <t>07/12/2565</t>
  </si>
  <si>
    <t>PR2-2566:6/27</t>
  </si>
  <si>
    <t>RV00020900066120057</t>
  </si>
  <si>
    <t>20/12/2565</t>
  </si>
  <si>
    <t>PR2-2566:7/49</t>
  </si>
  <si>
    <t>RV00020900066120226</t>
  </si>
  <si>
    <t>19/01/2566</t>
  </si>
  <si>
    <t>PR2-2566:14/17</t>
  </si>
  <si>
    <t>RV00020900066010195</t>
  </si>
  <si>
    <t>PR2-2566:18/25</t>
  </si>
  <si>
    <t>RV00020900066020210</t>
  </si>
  <si>
    <t>อาจารย์ ดร.ภูมิน นุตรทัต</t>
  </si>
  <si>
    <t xml:space="preserve">บริษัท แอดวานซ์ ไบโอ-
นาโนเทค กรุ๊ป จำกัด </t>
  </si>
  <si>
    <t>21/02/2566</t>
  </si>
  <si>
    <t>PR2-2566:20/19</t>
  </si>
  <si>
    <t>RV00020900066020295</t>
  </si>
  <si>
    <t>PR2-2566:23/1</t>
  </si>
  <si>
    <t>RV00020900066030123</t>
  </si>
  <si>
    <t>24/03/2566</t>
  </si>
  <si>
    <t>PR2-2566:23/41</t>
  </si>
  <si>
    <t>RV00020900066030242</t>
  </si>
  <si>
    <t>PR2-2566:22/27</t>
  </si>
  <si>
    <t>RV00020900066030058</t>
  </si>
  <si>
    <t>PR2-2566:23/2</t>
  </si>
  <si>
    <t>RV00020900066030125</t>
  </si>
  <si>
    <t>30/11/2565</t>
  </si>
  <si>
    <t>PR2-2566:5/25</t>
  </si>
  <si>
    <t>RV00020900066110463</t>
  </si>
  <si>
    <t>PR2-2566:5/26</t>
  </si>
  <si>
    <t>07/11/2565</t>
  </si>
  <si>
    <t>PL2-2566:1/27</t>
  </si>
  <si>
    <t>RV00020900066110112</t>
  </si>
  <si>
    <t>23/11/2565</t>
  </si>
  <si>
    <t>PL2-2566:1/49</t>
  </si>
  <si>
    <t>RV00020900066110387</t>
  </si>
  <si>
    <t xml:space="preserve">ทุนอุดหนุนดำเนินการวิจัยแผนงานวิจัย เรื่อง 
การสำรวจความพึงพอใจของผู้รับบริการ
สำหรับการประเมินประสิทธิภาพและ
ประสิทธิผลการปฏิบัติราชการขององค์กร
ปกครองส่วนท้องถิ่น ประจำปีงบประมาณ 
พ.ศ. 2565 </t>
  </si>
  <si>
    <t>PL2-2566:1/50</t>
  </si>
  <si>
    <t>RV00020900066110388</t>
  </si>
  <si>
    <t>PL2-2566:2/1</t>
  </si>
  <si>
    <t>RV00020900066110389</t>
  </si>
  <si>
    <t>24/11/2565</t>
  </si>
  <si>
    <t>PL2-2566:2/5</t>
  </si>
  <si>
    <t>RV00020900066110393</t>
  </si>
  <si>
    <t>องค์กรปกครองส่วนท้องถิ่น
จำนวน 30 หน่วยงาน</t>
  </si>
  <si>
    <t>15/12/2565</t>
  </si>
  <si>
    <t>PL2-2566:2/24</t>
  </si>
  <si>
    <t>RV00020900066120170</t>
  </si>
  <si>
    <t>26/12/2565</t>
  </si>
  <si>
    <t>PL2-2566:2/36</t>
  </si>
  <si>
    <t>RV00020900066120303</t>
  </si>
  <si>
    <t>PL2-2566:3/29</t>
  </si>
  <si>
    <t>RV00020900066020188</t>
  </si>
  <si>
    <t>23/12/2565</t>
  </si>
  <si>
    <t>PR2-2566:5/23</t>
  </si>
  <si>
    <t>RV00020900066120291</t>
  </si>
  <si>
    <t>27/02/2566</t>
  </si>
  <si>
    <t>PR2-2566:21/36</t>
  </si>
  <si>
    <t>RV00020900066020371
JV00020900066020031</t>
  </si>
  <si>
    <t>รศ.ดร.สรรพสิทธิ์ กล่อมเกล้า</t>
  </si>
  <si>
    <t>PR2-2566:21/31</t>
  </si>
  <si>
    <t>RV00020900066020357</t>
  </si>
  <si>
    <t>09/11/2565</t>
  </si>
  <si>
    <t>PR2-2566:3/25</t>
  </si>
  <si>
    <t>RV00020900066110156</t>
  </si>
  <si>
    <t>29/12/2565</t>
  </si>
  <si>
    <t>PR2-2565:10/18</t>
  </si>
  <si>
    <t>นางสาววันเพ็ญ บัวคง</t>
  </si>
  <si>
    <t>PR2-2566:9/24</t>
  </si>
  <si>
    <t>RV00020900066120292</t>
  </si>
  <si>
    <t>PR2-2566:14/18</t>
  </si>
  <si>
    <t>RV00020900066010196</t>
  </si>
  <si>
    <t>08/02/2566</t>
  </si>
  <si>
    <t>PR2-2566:17/30</t>
  </si>
  <si>
    <t>RV00020900066020088</t>
  </si>
  <si>
    <t>รายงานรายได้เพื่อการวิจัยจากแหล่งทุนภายนอก</t>
  </si>
  <si>
    <t>คณะพยาบาลศาสตร์</t>
  </si>
  <si>
    <t>05/04/2566</t>
  </si>
  <si>
    <t>PR2-2566:24/49</t>
  </si>
  <si>
    <t>RV00020900066040019</t>
  </si>
  <si>
    <t>PR2-2566:25/4</t>
  </si>
  <si>
    <t>RV00020900066040017</t>
  </si>
  <si>
    <t>PR2-2566:25/5</t>
  </si>
  <si>
    <t>PR2-2566:24/48</t>
  </si>
  <si>
    <t>RV00020900066040020</t>
  </si>
  <si>
    <t>อ.ดร.คณิดา สินใหม</t>
  </si>
  <si>
    <t>PR2-2566:24/47</t>
  </si>
  <si>
    <t>RV00020900066040021</t>
  </si>
  <si>
    <t>รศ.ดร.รุ่งชัชดาพร เวหะชาติ</t>
  </si>
  <si>
    <t>11/04/2566</t>
  </si>
  <si>
    <t>PR2-2566:27/2</t>
  </si>
  <si>
    <t>RV00020900066040108</t>
  </si>
  <si>
    <t>ผศ.ดร.นิรมล จันทรชาติ</t>
  </si>
  <si>
    <t>PL2-2566:4/15</t>
  </si>
  <si>
    <t>RV00020900066040023</t>
  </si>
  <si>
    <t>PR2-2566:24/50</t>
  </si>
  <si>
    <t>RV00020900066040018</t>
  </si>
  <si>
    <t>ผศ.อนงค์ ภิบาล</t>
  </si>
  <si>
    <t>ค่าธรรมเนียมตามประกาศคณะกรรมการบริหารกองทุนวิจัยมหาวิทยาลัยทักษิณ 
เรื่อง การบริหารจัดการทุนอุดหนุนการวิจัยจากแหล่งทุนภายนอก พ.ศ. 2564 และ 2565</t>
  </si>
  <si>
    <t>สถาบันทักษิณคดีศึกษา</t>
  </si>
  <si>
    <t>สำนักส่งเสริมบริการวิชาการและภูมิปัญญา
ชุมชน</t>
  </si>
  <si>
    <t>23/06/2566</t>
  </si>
  <si>
    <t>PR2-2566:35/25</t>
  </si>
  <si>
    <t>RV00020900066060297</t>
  </si>
  <si>
    <t>สำนักงานสภานโยบาย
การอุดมศึกษา 
วิทยาศาสตร์วิจัยและ
นวัตกรรมแห่งชาติ (สอวช.)</t>
  </si>
  <si>
    <t>ผศ.ดร.นันทิยา พนมจันทร์</t>
  </si>
  <si>
    <t>01/05/2566</t>
  </si>
  <si>
    <t>PR2-2566:29/18</t>
  </si>
  <si>
    <t>RV00020900066050009
JV00020900066050003</t>
  </si>
  <si>
    <t>03/05/2566</t>
  </si>
  <si>
    <t>PR2-2566:29/38</t>
  </si>
  <si>
    <t>RV00020900066050034</t>
  </si>
  <si>
    <t>12/06/2566</t>
  </si>
  <si>
    <t>PR2-2566:33/32</t>
  </si>
  <si>
    <t>RV00020900066060113</t>
  </si>
  <si>
    <t>อ.ดร.วราภรณ์ ทนงศักดิ์</t>
  </si>
  <si>
    <t>30/06/2566</t>
  </si>
  <si>
    <t>PR2-2566:36/19</t>
  </si>
  <si>
    <t>RV00020900066060397</t>
  </si>
  <si>
    <t>23/05/2566</t>
  </si>
  <si>
    <t>PR2-2566:31/28</t>
  </si>
  <si>
    <t>RV00020900066050245</t>
  </si>
  <si>
    <t>PR2-2566:29/33</t>
  </si>
  <si>
    <t>RV00020900066050030</t>
  </si>
  <si>
    <t>นายวีระศักดิ์ ไชยชาญ 
นิสิตระดับบัณฑิตศึกษา 
โดยมี รศ.ดร.จอมภพ แววศักดิ์ 
เป็นที่ปรึกษาการวิจัย</t>
  </si>
  <si>
    <t>PR2-2566:29/37</t>
  </si>
  <si>
    <t>RV00020900066050033</t>
  </si>
  <si>
    <t>ผศ.ดร.จิราพร ช่อมณี</t>
  </si>
  <si>
    <t>11/05/2566</t>
  </si>
  <si>
    <t>PR2-2566:30/1</t>
  </si>
  <si>
    <t>RV00020900066050098</t>
  </si>
  <si>
    <t>อาจารย์ ดร.จักรี บุญละคร</t>
  </si>
  <si>
    <t>ยกเว้น</t>
  </si>
  <si>
    <t>อาจารย์ ดร.นิลุบล จันทร์คง</t>
  </si>
  <si>
    <t>09/06/2566</t>
  </si>
  <si>
    <t>PR2-2566:33/31</t>
  </si>
  <si>
    <t>RV00020900066060106</t>
  </si>
  <si>
    <t>14/06/2566</t>
  </si>
  <si>
    <t>PR2-2566:33/50</t>
  </si>
  <si>
    <t>RV00020900066060169</t>
  </si>
  <si>
    <t>อ.ดร.ณภัทร แก้วภิบาล</t>
  </si>
  <si>
    <t>29/05/2566</t>
  </si>
  <si>
    <t>PR2-2566:32/14</t>
  </si>
  <si>
    <t>RV00020900066050303</t>
  </si>
  <si>
    <t>อาจารย์ ดร.สิงหา ตุลยกุล</t>
  </si>
  <si>
    <t>เครือข่ายอุดมศึกษาภาคใต้
ตอนล่างมหาวิทยาลัย
สงขลานครินทร์</t>
  </si>
  <si>
    <t>PR2-2566:33/30</t>
  </si>
  <si>
    <t>RV00020900066060105</t>
  </si>
  <si>
    <t>ผศ.ดร.พัศรเบศวณ์ เวชวิริยะสกุล</t>
  </si>
  <si>
    <t>PR2-2566:29/34</t>
  </si>
  <si>
    <t>RV00020900066050031</t>
  </si>
  <si>
    <t>อาจารย์อรศิริ ลีลายุทธชัย</t>
  </si>
  <si>
    <t>25/05/2566</t>
  </si>
  <si>
    <t>PL2-2566:4/35</t>
  </si>
  <si>
    <t>RV00020900066050261</t>
  </si>
  <si>
    <t>อ.ดร.โกมลมณี เกตตุพันธ์</t>
  </si>
  <si>
    <t>PR2-2566:29/17</t>
  </si>
  <si>
    <t>RV00020900066050006</t>
  </si>
  <si>
    <t>คณะอุตสาหกรรมเกษตรและชีวภาพ เปลี่ยนเป็นดำเนินการภายใต้สถาบันวิจัยและพัฒนา</t>
  </si>
  <si>
    <t>คณะอุตสาหกรรมการเกษตรและชีวภาพ</t>
  </si>
  <si>
    <t>ผศ.ดร.วิวัฒน์ ฤทธิมา</t>
  </si>
  <si>
    <t xml:space="preserve">สำนักงานสภานโยบาย
การอุดมศึกษา วิทยาศาสตร์
วิจัยและนวัตกรรมแห่งชาติ 
(สอวช.) </t>
  </si>
  <si>
    <t>ดำเนินการภายใต้สถาบันวิจัยและพัฒนา 
ทำหน้าที่หัวหน้าชุดงานวิจัย</t>
  </si>
  <si>
    <t>12/05/2566</t>
  </si>
  <si>
    <t>PR2-2566:30/11</t>
  </si>
  <si>
    <t>RV00020900066050110</t>
  </si>
  <si>
    <t>กำกับดูแลสถาบัน
ทักษิณคดีศึกษา</t>
  </si>
  <si>
    <t>PR2-2566:35/24</t>
  </si>
  <si>
    <t>RV00020900066060296</t>
  </si>
  <si>
    <t>นายธีระ จันทิปะ</t>
  </si>
  <si>
    <t>สำนักงานส่งเสริมเศรษฐกิจสร้างสรรค์ (องค์การมหาชน)</t>
  </si>
  <si>
    <t>PR2-2566:33/49</t>
  </si>
  <si>
    <t>RV00020900066060168</t>
  </si>
  <si>
    <t>นางสาววิจิตรา อมรวิริยะชัย</t>
  </si>
  <si>
    <t>อ.ดร.นิชาภรณ์ พันธ์คง</t>
  </si>
  <si>
    <t>25/07/2566</t>
  </si>
  <si>
    <t>PR2-2566:39/8</t>
  </si>
  <si>
    <t>RV00020900066070294</t>
  </si>
  <si>
    <t>04/07/2566</t>
  </si>
  <si>
    <t>PR2-2566:36/40</t>
  </si>
  <si>
    <t>RV00020900066070022
JV00020900066070006</t>
  </si>
  <si>
    <t>รศ.ดร.ศรชัย อินทะไชย</t>
  </si>
  <si>
    <t>PR2-2566:36/41</t>
  </si>
  <si>
    <t>RV00020900066070023
JV00020900066070007</t>
  </si>
  <si>
    <t>PR2-2566:39/9</t>
  </si>
  <si>
    <t>RV00020900066070293</t>
  </si>
  <si>
    <t>26/07/2566</t>
  </si>
  <si>
    <t>PR2-2566:39/19</t>
  </si>
  <si>
    <t>RV00020900066070319</t>
  </si>
  <si>
    <t>ค่าธรรมเนียมอุดหนุนสถาบัน
ตามประกาศคณะกรรมการบริหารกองทุนฯ
(10%หรือ16%จากยอดรับทั้งหมด)</t>
  </si>
  <si>
    <t>09/08/2566</t>
  </si>
  <si>
    <t>PR2-2566:40/18</t>
  </si>
  <si>
    <t>RV00020900066080051
JV00020900066080007</t>
  </si>
  <si>
    <t>31/08/2566</t>
  </si>
  <si>
    <t>PR2-2566:43/30</t>
  </si>
  <si>
    <t>RV00020900066080378</t>
  </si>
  <si>
    <t>15/08/2566</t>
  </si>
  <si>
    <t>PR2-2566:41/10</t>
  </si>
  <si>
    <t>RV00020900066080135</t>
  </si>
  <si>
    <t>บริษัท อิมมูนิเตอร์ 
มาร์เก็ตติ้ง จำกัด</t>
  </si>
  <si>
    <t>PL2-2566:5/34</t>
  </si>
  <si>
    <t>RV00020900066080377</t>
  </si>
  <si>
    <t>30/08/2566</t>
  </si>
  <si>
    <t>PR2-2566:43/28</t>
  </si>
  <si>
    <t>RV00020900066080367</t>
  </si>
  <si>
    <t>29/08/2566</t>
  </si>
  <si>
    <t>PR2-2566:43/25</t>
  </si>
  <si>
    <t>RV00020900066080339</t>
  </si>
  <si>
    <t>16/08/2566</t>
  </si>
  <si>
    <t>PR2-2566:41/20</t>
  </si>
  <si>
    <t>RV00020900066080146</t>
  </si>
  <si>
    <t xml:space="preserve">สำนักงานสภานโบยาย
การอุดมศึกษา วิทยาศาตร์ วิจัยและนวัตกรรมแห่งชาติ </t>
  </si>
  <si>
    <t>ประจำปีงบประมาณ พ.ศ. 2566   ตั้งแต่วันที่  1  ตุลาคม  2565  ถึงวันที่  30  กันยายน  2566</t>
  </si>
  <si>
    <t>สถาบันวิจัย
และพัฒนา</t>
  </si>
  <si>
    <t>สถาบันปฏิบัติการชุมชนและการเรียนรู้ตลอดชีวิต</t>
  </si>
  <si>
    <t>ประจำปีงบประมาณ พ.ศ. 2566   ตั้งแต่วันที่  1  ตุลาคม 2565  ถึงวันที่  30  กันยายน  2566</t>
  </si>
  <si>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โครงการย่อยที่ 3 การเลี้ยงแพะหวะแก้จน 
จังหวัดพัทลุง งวดที่ 2
</t>
    </r>
    <r>
      <rPr>
        <b/>
        <sz val="13"/>
        <color indexed="10"/>
        <rFont val="Angsana New"/>
        <family val="1"/>
      </rPr>
      <t xml:space="preserve">งบประมาณทั้งสิ้น 1,530,000 บาท </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</si>
  <si>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indexed="8"/>
        <rFont val="Angsana New"/>
        <family val="1"/>
      </rPr>
      <t>โครงการย่อยที่ 3</t>
    </r>
    <r>
      <rPr>
        <sz val="13"/>
        <color indexed="8"/>
        <rFont val="Angsana New"/>
        <family val="1"/>
      </rPr>
      <t xml:space="preserve"> แพะหวะแก้จน 
จังหวัดพัทลุงโมเดล งวดที่ 1
</t>
    </r>
    <r>
      <rPr>
        <b/>
        <sz val="13"/>
        <color indexed="10"/>
        <rFont val="Angsana New"/>
        <family val="1"/>
      </rPr>
      <t>วงเงินงบประมาณย่อย 2,700,000 บาท</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</si>
  <si>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indexed="8"/>
        <rFont val="Angsana New"/>
        <family val="1"/>
      </rPr>
      <t>โครงการย่อยที่ 4</t>
    </r>
    <r>
      <rPr>
        <sz val="13"/>
        <color indexed="8"/>
        <rFont val="Angsana New"/>
        <family val="1"/>
      </rPr>
      <t xml:space="preserve"> วิชชายุทธเกษตรสู้จน 
คนศรีนครินทร์ งวดที่ 1 
</t>
    </r>
    <r>
      <rPr>
        <b/>
        <sz val="13"/>
        <color indexed="10"/>
        <rFont val="Angsana New"/>
        <family val="1"/>
      </rPr>
      <t>วงเงินงบประมาณย่อย 1,100,000 บาท</t>
    </r>
  </si>
  <si>
    <r>
      <t xml:space="preserve">ตามสัญญาเลขที่ N71B650123 สำหรับทุนสนับสนุนการวิจัย เรื่อง ธนาคารแพะหวะชายแดนใต้ จังหวัดนราธิวาส ( ระยะเวลา 
1 กุมภาพันธ์ 2565 - 31 มกราคม 2566) </t>
    </r>
    <r>
      <rPr>
        <b/>
        <sz val="13"/>
        <color indexed="10"/>
        <rFont val="Angsana New"/>
        <family val="1"/>
      </rPr>
      <t xml:space="preserve">งบประมาณทั้งสิ้น 500,000 บาท </t>
    </r>
  </si>
  <si>
    <t>29/09/2566</t>
  </si>
  <si>
    <t>PR2-2566:50/36</t>
  </si>
  <si>
    <t>RV00020900066090621</t>
  </si>
  <si>
    <r>
      <t xml:space="preserve">ตามสัญญที่ N24B650299 สัญญารับทุน
อุดหนุนการทำกิจกรรมส่งเสริมและสนับสนุน
การวิจัยและนวัตกรรม เรื่อง การพัฒนาระบบ
การผลิตไก่คอล่อนสำหรับเกษตรกรใน
อำเภอควนขนุน จังหวัดพัทลุง งวดที่ 3
</t>
    </r>
    <r>
      <rPr>
        <b/>
        <sz val="13"/>
        <color indexed="10"/>
        <rFont val="Angsana New"/>
        <family val="1"/>
      </rPr>
      <t xml:space="preserve">วงเงินทั้งสิ้น 400,000 บาท </t>
    </r>
  </si>
  <si>
    <t>PR2-2566:50/35</t>
  </si>
  <si>
    <t>RV00020900066090619</t>
  </si>
  <si>
    <t xml:space="preserve">ศ.ดร.กรกฎ ทองขะโชค </t>
  </si>
  <si>
    <r>
      <t xml:space="preserve">ตามสัญญาเลขที่ 148/2566 ว่าจ้างปรึกษาโครงการประเมินความเชื่อมั่นของประชาชน
ในพื้นที่จังหวัดชายแดนภาคใต้ที่มีต่อการ
อำนวยความยุติธรรมของกระทรวงยุติธรรม 
และแผนงานอำนวยความยุติธรรมและเยียวยา
ผู้ได้รับผลกระทบ ประจำปีงบประมาณ 
พ.ศ.2566 งวดที่ 1 
</t>
    </r>
    <r>
      <rPr>
        <b/>
        <sz val="13"/>
        <color indexed="10"/>
        <rFont val="Angsana New"/>
        <family val="1"/>
      </rPr>
      <t xml:space="preserve">งบประมาณทั้งสิ้น 1,290,000 บาท </t>
    </r>
  </si>
  <si>
    <r>
      <t xml:space="preserve">ตามสัญญารับทุนอุดหนุนการวิจัยและ
นวัตกรรม เรื่อง การจัดการความรู้และการ
ถ่ายทอดเทคโนโลยีแอปพลิเคชันการป้องกัน
ภาวะซึมเศร้าของผู้สูงอายุโดยใช้หลักมิติจิต
วิญญาณตามวิถีมุสลิมสำหรับอาสาสมัคร
สาธารณสุขประจำหมู่บ้าน ในบริบทสาม
จังหวัดชายแดนใต้ เพื่อความั่นคงของมนุษย์
อย่างยั่งยื่น งวดที่ 1
</t>
    </r>
    <r>
      <rPr>
        <b/>
        <sz val="13"/>
        <color indexed="10"/>
        <rFont val="Angsana New"/>
        <family val="1"/>
      </rPr>
      <t xml:space="preserve">งบประมาณทั้งสิ้น 600,000 บาท </t>
    </r>
  </si>
  <si>
    <r>
      <t xml:space="preserve">ตามใบสั่งจ้างเลขที่ 00394/65 ว่าจ้างสำรวจ
ความพึงพอใจของผู้รับบริการที่มีต่อการ
ให้บริการสาธารณะของเทศบาลตำบล
สะบ้าย้อย ประจำปีงบประมาณ 2565 
(ระยะเวลา 27 ก.ย. 65 - 26 พ.ย. 65) </t>
    </r>
    <r>
      <rPr>
        <b/>
        <sz val="13"/>
        <color indexed="10"/>
        <rFont val="Angsana New"/>
        <family val="1"/>
      </rPr>
      <t>งบประมาณทั้งสิ้น 30,000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</si>
  <si>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ภายใต้แผนงาน ตัวแบบเชิง
ธุรกิจเพื่อสร้างเศรษฐกิจฐานรากรองรับการ
เปลี่ยนแปลงและวิกฤตด้านเศรษฐกิจ 
โปรแกรม 17 แก้ปัญหาวิกฤตเร่งด่วนของ
ประเทศอื่น ๆ งวดที่ 2
</t>
    </r>
    <r>
      <rPr>
        <b/>
        <sz val="13"/>
        <color indexed="10"/>
        <rFont val="Angsana New"/>
        <family val="1"/>
      </rPr>
      <t>งบประมาณทั้งสิ้น 3,500,000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</si>
  <si>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3 แบบ
จำลองธุรกิจแบบจับคู่ค้าของผลิตภัณฑ์กาบ
หมากแบรนด์ กาหลง สำหรับผู้บริโภคกลุ่ม
ยึดมั่นความเป็นมิตรกับสิ่งแวดล้อม งวดที่ 2 </t>
    </r>
    <r>
      <rPr>
        <b/>
        <sz val="13"/>
        <color indexed="10"/>
        <rFont val="Angsana New"/>
        <family val="1"/>
      </rPr>
      <t>งบประมาณโครงการทั้งสิ้น 1,248,300 บ.</t>
    </r>
  </si>
  <si>
    <r>
      <t xml:space="preserve">ตามบันทึกข้อตกลงความร่วมมือระหว่าง
ภายใต้โครงการใช้เทคโนโลยีและนวัตกรรม
เพื่อการบริหารจัดการฟาร์มและสร้างความเป็นอัตลักษณ์ให้กับผลิตภัณฑ์ปศุสัตว์
ภาคใต้ชายแดน ปีงบประมาณ พ.ศ.2566 
(ระยะเวลาดำเนินการระหว่างเดือนมกราคม  
ถึงเดือนมิถุนายน 2566) งวดที่ 1 
</t>
    </r>
    <r>
      <rPr>
        <b/>
        <sz val="13"/>
        <color indexed="10"/>
        <rFont val="Angsana New"/>
        <family val="1"/>
      </rPr>
      <t xml:space="preserve">งบประมาณทั้งสิ้น 1,600,000.00 บาท </t>
    </r>
  </si>
  <si>
    <r>
      <t xml:space="preserve">ตามสัญญาจ้างผู้เชี่ยวชาญรายบุคคลหรือ
จ้างที่บริษัทที่ปรึกษา เลขที่ 77/2565 
ได้ว่าจ้างที่ปรึกษาปฏิบัติงานตามโครงการ 
ดำเนินการจ้างที่ปรึกษา กิจกรรมการศึกษา 
วิจัยและประเมินผลการปฏิบัติงานประจำปี
งบประมาณ พ.ศ.2565 ภายใต้แผนบูรณาการ
ขับเคลื่อนการแก้ไขปัญหาจังหวัดชายแดน
ภาคใต้ พ.ศ.2565 งวดที่ 2-3 และเงินประกัน
ผลงานงวดที่ 2-3
</t>
    </r>
    <r>
      <rPr>
        <b/>
        <sz val="13"/>
        <color indexed="10"/>
        <rFont val="Angsana New"/>
        <family val="1"/>
      </rPr>
      <t xml:space="preserve">งบประมาณทั้งสิ้น 1,645,322.00 บาท </t>
    </r>
  </si>
  <si>
    <r>
      <t xml:space="preserve">ตามสัญญาจ้างผู้เชี่ยวชาญรายบุคคลหรือ
จ้างที่บริษัทที่ปรึกษา เลขที่ 77/2565 
ได้ว่าจ้างที่ปรึกษาปฏิบัติงานตามโครงการ 
ดำเนินการจ้างที่ปรึกษา กิจกรรมการศึกษา 
วิจัยและประเมินผลการปฏิบัติงานประจำปี
งบประมาณ พ.ศ.2565 ภายใต้แผนบูรณาการ
ขับเคลื่อนการแก้ไขปัญหาจังหวัดชายแดน
ภาคใต้ พ.ศ.2565 เงินประกันผลงานงวดที่ 1
</t>
    </r>
    <r>
      <rPr>
        <b/>
        <sz val="13"/>
        <color indexed="10"/>
        <rFont val="Angsana New"/>
        <family val="1"/>
      </rPr>
      <t xml:space="preserve">งบประมาณทั้งสิ้น 1,645,322.00 บาท </t>
    </r>
  </si>
  <si>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โครงการย่อยที่ 2 การยกระดับรายได้คนจน
อำเภอควนขนุน จังหวัดพัทลุง ด้วยโมเดล 
อำเภอกระจูดแก้จน งวดที่ 2
</t>
    </r>
    <r>
      <rPr>
        <b/>
        <sz val="13"/>
        <color indexed="10"/>
        <rFont val="Angsana New"/>
        <family val="1"/>
      </rPr>
      <t>งบประมาณทั้งสิ้น 1,665,364 บาท</t>
    </r>
    <r>
      <rPr>
        <sz val="13"/>
        <color indexed="8"/>
        <rFont val="Angsana New"/>
        <family val="1"/>
      </rPr>
      <t xml:space="preserve"> </t>
    </r>
  </si>
  <si>
    <r>
      <t xml:space="preserve">ตามสัญญาจ้างโครงการรหัส 64-00223-0022 
ของโครงการวิจัย บทบาทของนักข่าวพลเมือง
บนสือสังคมกับการเฝ้าระวังปัญหาการใช้
ยาเสพติดของนักเรียนในโรงเรียนขนาดเล็ก
บริเวณพื้นที่ชายแดนไทย-มาเลเซีย
เงินประกันผลงาน
</t>
    </r>
    <r>
      <rPr>
        <b/>
        <sz val="13"/>
        <color indexed="10"/>
        <rFont val="Angsana New"/>
        <family val="1"/>
      </rPr>
      <t xml:space="preserve">งบประมาณทั้งสิ้น 183,932.00 บาท </t>
    </r>
  </si>
  <si>
    <r>
      <t xml:space="preserve">ตามสัญญารับทุนอุดหนุนการวิจัยและ
นวัตกรรม เรื่องการพัฒนาทักษะผู้ประกอบการ
ที่ขับเคลื่อนโดยนวัตกรรมของนักเรียนกลุ่ม
เปราะบางในจังหวัดปัตตานี งวดที่ 3
</t>
    </r>
    <r>
      <rPr>
        <b/>
        <sz val="13"/>
        <color indexed="10"/>
        <rFont val="Angsana New"/>
        <family val="1"/>
      </rPr>
      <t>งบประมาณทั้งสิ้น 735,240 บาท</t>
    </r>
    <r>
      <rPr>
        <sz val="13"/>
        <color indexed="8"/>
        <rFont val="Angsana New"/>
        <family val="1"/>
      </rPr>
      <t xml:space="preserve">  </t>
    </r>
  </si>
  <si>
    <r>
      <t xml:space="preserve">ตามสัญญารับทุนอุดหนุนการวิจัยและ
นวัตกรรม เรื่อง การจัดการความรู้เพื่อลด
ความเสี่ยงและปรับตัวต่อภัยแล้งของชุมชน
เกษตรกรรม คาบสมุทรสทิงพระ 
จังหวัดสงขลา งวดที่ 1 
</t>
    </r>
    <r>
      <rPr>
        <b/>
        <sz val="13"/>
        <color indexed="10"/>
        <rFont val="Angsana New"/>
        <family val="1"/>
      </rPr>
      <t xml:space="preserve">งบประมาณทั้งสิ้น 450,000 บาท </t>
    </r>
  </si>
  <si>
    <r>
      <t xml:space="preserve">ตามสัญญาเลขที่ N71B650048  สำหรับ
ทุนสนับสนุสนการวิจัย เรื่อง การถ่ายทอดเทคโนโลยีการรับมือภัยพิบัติทางธรรมชาติด้วยระบบฐานข้อมูล ภายใต้ระยะเวลาดำเนินงาน 
27 มกราคม 2565 ถึง 26 มกราคม 2566 </t>
    </r>
    <r>
      <rPr>
        <b/>
        <sz val="13"/>
        <color indexed="10"/>
        <rFont val="Angsana New"/>
        <family val="1"/>
      </rPr>
      <t>งบประมาณทั้งสิ้น 500,000 บาท</t>
    </r>
  </si>
  <si>
    <r>
      <t xml:space="preserve">ตามสัญญารับทุนอุดหนุนการวิจัยและ
นวัตกรรม เรื่อง การพัฒนารูปแบบการให้
ความช่วยเหลือเยียวยาฯ ไปสู่การพัฒนา
แบบเบ็ดเสร็จครบวงจร งวดที่ 1
</t>
    </r>
    <r>
      <rPr>
        <b/>
        <sz val="13"/>
        <color indexed="10"/>
        <rFont val="Angsana New"/>
        <family val="1"/>
      </rPr>
      <t xml:space="preserve">งบประมาณทั้งสิ้น 800,000 บาท </t>
    </r>
  </si>
  <si>
    <r>
      <t xml:space="preserve">ตามบันทึกข้อตกลงความร่วมมือระหว่าง
ภายใต้โครงการใช้เทคโนโลยีและนวัตกรรม
เพื่อการบริหารจัดการฟาร์มและสร้างความเป็นอัตลักษณ์ให้กับผลิตภัณฑ์ปศุสัตว์
ภาคใต้ชายแดน ปีงบประมาณ พ.ศ.2566 
(ระยะเวลาดำเนินการระหว่างเดือนมกราคม  
ถึงเดือนมิถุนายน 2566) งวดที่ 2
</t>
    </r>
    <r>
      <rPr>
        <b/>
        <sz val="13"/>
        <color indexed="10"/>
        <rFont val="Angsana New"/>
        <family val="1"/>
      </rPr>
      <t xml:space="preserve">งบประมาณทั้งสิ้น 1,600,000.00 บาท </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</si>
  <si>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rFont val="Angsana New"/>
        <family val="1"/>
      </rPr>
      <t>โครงการย่อยที่ 1</t>
    </r>
    <r>
      <rPr>
        <sz val="13"/>
        <color indexed="8"/>
        <rFont val="Angsana New"/>
        <family val="1"/>
      </rPr>
      <t xml:space="preserve"> กระจูดพัทลุงโมเดล การยกระดับศักยภาพผลิตภัณฑ์กระจูดตลอดโซ่อุปทานของวิสาหกิจชุมชนเลน้อยคราฟ ขับเคลื่อนโดย BCG งวดที่ 1
</t>
    </r>
    <r>
      <rPr>
        <b/>
        <sz val="13"/>
        <color indexed="10"/>
        <rFont val="Angsana New"/>
        <family val="1"/>
      </rPr>
      <t>วงเงินงบประมาณย่อย 2,700,000 บาท</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</si>
  <si>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indexed="8"/>
        <rFont val="Angsana New"/>
        <family val="1"/>
      </rPr>
      <t>โครงการย่อยที่ 5</t>
    </r>
    <r>
      <rPr>
        <sz val="13"/>
        <color indexed="8"/>
        <rFont val="Angsana New"/>
        <family val="1"/>
      </rPr>
      <t xml:space="preserve"> บางแก้วโมเดล ประมง
พื้นบ้านแก้จน งวดที่ 1 
</t>
    </r>
    <r>
      <rPr>
        <b/>
        <sz val="13"/>
        <color indexed="10"/>
        <rFont val="Angsana New"/>
        <family val="1"/>
      </rPr>
      <t>วงเงินงบประมาณย่อย 1,100,000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</si>
  <si>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ภายใต้แผนงาน ตัวแบบเชิง
ธุรกิจเพื่อสร้างเศรษฐกิจฐานรากรองรับการ
เปลี่ยนแปลงและวิกฤตด้านเศรษฐกิจ 
โปรแกรม 17 แก้ปัญหาวิกฤตเร่งด่วนของ
ประเทศอื่น ๆ งวดที่ 3 
</t>
    </r>
    <r>
      <rPr>
        <b/>
        <sz val="13"/>
        <color indexed="10"/>
        <rFont val="Angsana New"/>
        <family val="1"/>
      </rPr>
      <t>งบประมาณทั้งสิ้น 3,500,000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</si>
  <si>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3 แบบ
จำลองธุรกิจแบบจับคู่ค้าของผลิตภัณฑ์กาบ
หมากแบรนด์ กาหลง สำหรับผู้บริโภคกลุ่ม
ยึดมั่นความเป็นมิตรกับสิ่งแวดล้อม งวดที่ 3 </t>
    </r>
    <r>
      <rPr>
        <b/>
        <sz val="13"/>
        <color indexed="10"/>
        <rFont val="Angsana New"/>
        <family val="1"/>
      </rPr>
      <t>งบประมาณโครงการทั้งสิ้น 1,248,300 บ.</t>
    </r>
  </si>
  <si>
    <r>
      <t xml:space="preserve">โครงการทุนพัฒนาศักยภาพในการทำงาน
วิจัยของอาจารย์รุ่นใหม่ ปีงบประมาณ 2565 : 
สัญญาเลขที่ RGNS 64-086 งานวิจัยเรื่อง 
การพัฒนารูปแบบการบริการสารสนเทศ
ห้องสมุดมหาวิทยาลัยในกำกับของรัฐใน
จังหวัดภาคใต้ งวดที่ 2
</t>
    </r>
    <r>
      <rPr>
        <b/>
        <sz val="13"/>
        <color indexed="10"/>
        <rFont val="Angsana New"/>
        <family val="1"/>
      </rPr>
      <t>งบประมาณทั้งสิ้น 360,000.00 บาท</t>
    </r>
  </si>
  <si>
    <t>PR2-2566:51/2</t>
  </si>
  <si>
    <t>RV00020900066090641</t>
  </si>
  <si>
    <r>
      <t xml:space="preserve">ตามสัญญารับทุนอุดหนุนการวิจัยและ
นวัตกรรม เรื่อง การจัดการความรู้เพื่อลด
ความเสี่ยงและปรับตัวต่อภัยแล้งของชุมชน
เกษตรกรรม คาบสมุทรสทิงพระ 
จังหวัดสงขลา งวดที่ 2 
</t>
    </r>
    <r>
      <rPr>
        <b/>
        <sz val="13"/>
        <color indexed="10"/>
        <rFont val="Angsana New"/>
        <family val="1"/>
      </rPr>
      <t xml:space="preserve">งบประมาณทั้งสิ้น 450,000 บาท </t>
    </r>
  </si>
  <si>
    <t>เล่มที่ 1140 เลขที่ 48</t>
  </si>
  <si>
    <t>RV00020900066090749</t>
  </si>
  <si>
    <t>เทศบาลตำบลยุโป</t>
  </si>
  <si>
    <r>
      <t xml:space="preserve">ตามใบสั่งจ้างเลขที่ 74/2566 ว่าจ้างสำรวจความพึงพอใจในการบริการสาธารณะของเทศบาลตำบลยุโป ประจำปีงบประมาณ 
พ.ศ. 2566
</t>
    </r>
    <r>
      <rPr>
        <b/>
        <sz val="13"/>
        <color indexed="10"/>
        <rFont val="Angsana New"/>
        <family val="1"/>
      </rPr>
      <t>งบประมาณทั้งสิ้น 19,000 บาท</t>
    </r>
  </si>
  <si>
    <r>
      <t xml:space="preserve">ตามข้อตกลงเลขที่ สวรส.64-197 สนับสนุน
ทุนวิจัย โครงการปัจจัยที่สัมพันธ์กับการคงอยู่
ในวิชาชีพของพยาบาล และการพัฒนา
ข้อเสนอเชิงนโยบายในการส่งเสริมการคงอยู่
ในวิชาชีพพยาบาลในสถานการณ์การแพร่ระบาดของโรคโควิด 19 งวดที่ 3
</t>
    </r>
    <r>
      <rPr>
        <b/>
        <sz val="13"/>
        <color indexed="10"/>
        <rFont val="Angsana New"/>
        <family val="1"/>
      </rPr>
      <t xml:space="preserve">งบประมาณทั้งสิ้น 681,978.00 บาท </t>
    </r>
  </si>
  <si>
    <r>
      <t xml:space="preserve">ตามสัญญาจ้างทุนวิจัยเรื่อง การพัฒนาและ
นำเสนอแผนโครงการ ตลอดจนทำโครงการ
หรือกิจกรรมเพื่อการผลักดันนโยบายหรือ
สร้างนวัตกรรมขับเคลื่อนงานควบคุมยาสูบร่วมกับนักศึกษา งวดที่ 1-2 
</t>
    </r>
    <r>
      <rPr>
        <b/>
        <sz val="13"/>
        <color indexed="10"/>
        <rFont val="Angsana New"/>
        <family val="1"/>
      </rPr>
      <t xml:space="preserve">งบประมาณทั้งสิ้น 90,000 บาท </t>
    </r>
  </si>
  <si>
    <r>
      <t xml:space="preserve">ตามสัญญาจ้างทุนวิจัยเรื่อง การพัฒนาและ
นำเสนอแผนโครงการ ตลอดจนทำโครงการ
หรือกิจกรรมเพื่อการผลักดันนโยบายหรือ
สร้างนวัตกรรมขับเคลื่อนงานควบคุมยาสูบร่วมกับนักศึกษา งวดที่ 3 
</t>
    </r>
    <r>
      <rPr>
        <b/>
        <sz val="13"/>
        <color indexed="10"/>
        <rFont val="Angsana New"/>
        <family val="1"/>
      </rPr>
      <t xml:space="preserve">งบประมาณทั้งสิ้น 90,000 บาท </t>
    </r>
  </si>
  <si>
    <t>27/09/2566</t>
  </si>
  <si>
    <t>PR2-2566:49/47</t>
  </si>
  <si>
    <t>RV00020900066090553</t>
  </si>
  <si>
    <t>สำนักงานกองทุนสนับสนุนการสร้างเสริมสุขภาพ</t>
  </si>
  <si>
    <r>
      <t xml:space="preserve">ตามข้อตกลงเลขที่ 66-E1-0929  ได้สนับสนุน
ทุนภายใต้โครงการ พัฒนาศักยภาพเครือข่าย
หมออนามัยเพื่อพัฒนาความรอบรู้ด้าน
สุขภาพ ในผู้ดื่มเครื่องดื่มแอลกอฮอล์ใน
ชุมชน งวดที่ 1 
</t>
    </r>
    <r>
      <rPr>
        <b/>
        <sz val="13"/>
        <color indexed="10"/>
        <rFont val="Angsana New"/>
        <family val="1"/>
      </rPr>
      <t>วงเงินงบประมาณทั้งสิ้น 9,888,000 บาท</t>
    </r>
  </si>
  <si>
    <r>
      <t xml:space="preserve">เงินสนับสนุนการวิจัย เรื่อง Shrimp histological preparation and histological study งวดที่ 2-3 </t>
    </r>
    <r>
      <rPr>
        <b/>
        <sz val="13"/>
        <color indexed="10"/>
        <rFont val="Angsana New"/>
        <family val="1"/>
      </rPr>
      <t xml:space="preserve">งบประมาณทั้งสิ้น 201,250.00 บาท </t>
    </r>
  </si>
  <si>
    <r>
      <t xml:space="preserve">สัญญารับงบประมาณสนับสนุนความร่วมมือ
วิจัยภายใต้โครงการ TINI to University 2565 : 
โครงการการผลิตกระแสไฟฟ้าและการบำบัด
ทางชีวภาพของน้ำเสียชุมชนด้วยระบบบึง
ประดิษฐ์ร่วมกับเซลล์เชื้อเพลิงจุลินทรีย์ที่ใช้
แบคทีเรียทนรังสีแกมมาเป็นตัวเร่งปฏิกิริยา
ชีวภาพ งวดที่ 2
</t>
    </r>
    <r>
      <rPr>
        <b/>
        <sz val="13"/>
        <color indexed="10"/>
        <rFont val="Angsana New"/>
        <family val="1"/>
      </rPr>
      <t xml:space="preserve">วงเงินงบประมาณทั้งสิ้น 50,000 บาท </t>
    </r>
  </si>
  <si>
    <r>
      <t xml:space="preserve">ตามสัญญาเลขที่ A13F650068 สัญญาให้ทุน
โครงการ การจัดการเครือข่ายเชิงพื้นที่ด้วยการ
สร้างนวัตกรรมการเรียนรู้บนฐานภูมิปัญญา
ท้องถิ่นเพื่อสร้างต้นแบบการพัฒนาชุมชนปลา
สามน้ำในพื้นที่ลุ่มน้ำทะเลสาบสงขลา ภายใต้
แผนงานชุมชนนวัตกรรมเพื่อการพัฒนาอย่าง
ยั่งยืนโปรแกรม 13 พัฒนานวัตกรรมสำหรับ
เศรษฐกิจฐานรากและชุมชนนวัตกรรมโดยใช้
วิทยาศาสตร์ วิจัยและนวัตกรรม แพลตฟอร์ม4 
การวิจัยและสร้างนวัตกรรม เพื่อการพัฒนาเชิง
พื้นที่และลดความเหลื่อมล้ำ งวดที่ 2
</t>
    </r>
    <r>
      <rPr>
        <b/>
        <sz val="13"/>
        <color indexed="10"/>
        <rFont val="Angsana New"/>
        <family val="1"/>
      </rPr>
      <t>งบประมาณทั้งสิ้น 4,000,000 บาท</t>
    </r>
    <r>
      <rPr>
        <sz val="13"/>
        <color indexed="8"/>
        <rFont val="Angsana New"/>
        <family val="1"/>
      </rPr>
      <t xml:space="preserve"> </t>
    </r>
  </si>
  <si>
    <r>
      <t xml:space="preserve">ตามสัญญาเลขที่ A13F650068 สัญญาให้ทุน
โครงการ การจัดการเครือข่ายเชิงพื้นที่ด้วยการ
สร้างนวัตกรรมการเรียนรู้บนฐานภูมิปัญญา
ท้องถิ่นเพื่อสร้างต้นแบบการพัฒนาชุมชนปลา
สามน้ำในพื้นที่ลุ่มน้ำทะเลสาบสงขลา : 
โครงการย่อยที่ 1 การจัดการอนุรักษ์ปลาสาม
น้ำของชุมชนในลุ่มน้ำทะเลสาบสงขลาอย่างมี
ส่วนร่วมด้วยเทคโนโลยีและนวัตกรรมทาง
สังคม งวดที่ 2
</t>
    </r>
    <r>
      <rPr>
        <b/>
        <sz val="13"/>
        <color indexed="10"/>
        <rFont val="Angsana New"/>
        <family val="1"/>
      </rPr>
      <t>งบประมาณโครงการทั้งสิ้น 850,000 บาท</t>
    </r>
  </si>
  <si>
    <r>
      <t xml:space="preserve">ตามสัญญาเลขที่ 66A105000025 
สัญญารับทุนอุดหนุนการวิจัยประเภท
งานมูลฐาน (Fundamental Fund) กองทุนส่งเสริมวิทยาศาสตร์ วิจัยและนวัตกรรม มหาวิทยาลัยทักษิณ ประจำปีงบประมาณ
พ.ศ. 2566 โดยในสัญญาได้มีผู้ร่วมทุนเพื่อ  
สนับสนุนทุนวิจัยร่วมเรื่อง เห็ดป่าในป่าสาคู
จังหวัดพัทลุง สู่การนำไปใช้ประโยชน์เพื่อ
พัฒนาต่อยอดทางอุตสาหกรรมเกษตร 
</t>
    </r>
    <r>
      <rPr>
        <b/>
        <sz val="13"/>
        <color indexed="10"/>
        <rFont val="Angsana New"/>
        <family val="1"/>
      </rPr>
      <t>วงเงินร่วมวิจัย 40,000 บาท 
(โดยงบประมาณการร่วมทุนได้รับยกเว้น
การเก็บค่าธรรมเนียมอุดหนุนสถาบัน)</t>
    </r>
  </si>
  <si>
    <r>
      <t xml:space="preserve">โครงการทุนพัฒนาศักยภาพในการทำงาน
วิจัยของอาจารย์รุ่นใหม่ ปีงบประมาณ 2564 : 
สัญญาเลขที่ RGNS 63-084 งานวิจัยเรื่อง 
การคอมโพสิตสารผสม Fe2O3 และ CuO 
กับแผ่นนาโนเคลย์ไอออนลบเพื่อเพิ่มการผลิต
ไฮโดรเจนจากน้ำด้วยการเร่งปฏิกิริยาเชิงแสง
วิสิเบิล งวดที่ 2 (ยกเว้นเงินอุดหนุนสถาบัน)
</t>
    </r>
    <r>
      <rPr>
        <b/>
        <sz val="13"/>
        <color indexed="10"/>
        <rFont val="Angsana New"/>
        <family val="1"/>
      </rPr>
      <t>งบประมาณทั้งสิ้น 600,000.00 บาท</t>
    </r>
    <r>
      <rPr>
        <sz val="13"/>
        <color indexed="10"/>
        <rFont val="Angsana New"/>
        <family val="1"/>
      </rPr>
      <t xml:space="preserve"> </t>
    </r>
  </si>
  <si>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โครงการย่อยที่ 1 โมเดลแก้จนสวัสดิการชุมชน
เกื้อกูล : คนเมืองลุงไม่ทอดทิ้งกัน งวดที่ 2
</t>
    </r>
    <r>
      <rPr>
        <b/>
        <sz val="13"/>
        <color indexed="10"/>
        <rFont val="Angsana New"/>
        <family val="1"/>
      </rPr>
      <t>งบประมาณทั้งสิ้น 2,237,799 บาท</t>
    </r>
    <r>
      <rPr>
        <sz val="13"/>
        <color indexed="8"/>
        <rFont val="Angsana New"/>
        <family val="1"/>
      </rPr>
      <t xml:space="preserve"> </t>
    </r>
  </si>
  <si>
    <r>
      <t xml:space="preserve">ตามสัญญารับทุนอุดหนุนการวิจัยและ
นวัตกรรม เรื่องเครือข่ายความร่วมมือระหว่าง
กลุ่มเกษตรกรสวนปาล์มน้ำมันและสถาน
ประกอบการในการพัฒนาการทำปาล์มน้ำมัน
คุณภาพมูลค่าสูง และการจัดการของเสียแบบ
หมุนเวียนและสร้างมูลค่า งวดที่ 3 
</t>
    </r>
    <r>
      <rPr>
        <b/>
        <sz val="13"/>
        <color indexed="10"/>
        <rFont val="Angsana New"/>
        <family val="1"/>
      </rPr>
      <t>งบประมาณทั้งสิ้น 700,000 บาท</t>
    </r>
    <r>
      <rPr>
        <sz val="13"/>
        <color indexed="8"/>
        <rFont val="Angsana New"/>
        <family val="1"/>
      </rPr>
      <t xml:space="preserve"> </t>
    </r>
  </si>
  <si>
    <r>
      <t xml:space="preserve">ตามบันทึกข้อตกลงความร่วมมือโครงการส่งเสริมความร่วมมือการใช้ศักยภาพ
โครงสร้างพื้นฐานทางนิวเคลียร์และ
เครื่องมือวิจัย ภายใต้โครงการการเพาะเลี้ยง
และพัฒนาผลิตภัณฑ์อาหารเสริมสุขภาพ
จากสาหร่ายเตา งวดที่ 1 
</t>
    </r>
    <r>
      <rPr>
        <b/>
        <sz val="13"/>
        <color indexed="10"/>
        <rFont val="Angsana New"/>
        <family val="1"/>
      </rPr>
      <t xml:space="preserve">งบประมาณทั้งสิ้น 50,000 บาท </t>
    </r>
  </si>
  <si>
    <r>
      <t xml:space="preserve">ตามบันทึกข้อตกลงความร่วมมือโครงการ
ส่งเสริมความร่วมมือการใช้ศักยภาพ
โครงสร้างพื้นฐานทางนิวเคลียร์และ
เครื่องมือวิจัย ภายใต้โครงการการพัฒนา
สายพันธุ์ของสาหร่ายเตาด้วยการใช้เทคนิค
การฉายรังสีแกมมาและนิวตรอน งวดที่ 1
</t>
    </r>
    <r>
      <rPr>
        <b/>
        <sz val="13"/>
        <color indexed="10"/>
        <rFont val="Angsana New"/>
        <family val="1"/>
      </rPr>
      <t>งบประมาณทั้งสิ้น 50,000 บาท</t>
    </r>
    <r>
      <rPr>
        <sz val="13"/>
        <color indexed="8"/>
        <rFont val="Angsana New"/>
        <family val="1"/>
      </rPr>
      <t xml:space="preserve"> </t>
    </r>
  </si>
  <si>
    <r>
      <t xml:space="preserve">ตามสัญญารับทุนอุดหนุนการวิจัยและ
นวัตกรรม เรื่อง การถ่ายทอดเทคโนโลยีแอป
พลิเคชันหลักสูตรผู้สูงอายุศึกษาสำหรับ
เยาวชน 3 จังหวัดชายแดนภาคใต้ งวดที่ 1
</t>
    </r>
    <r>
      <rPr>
        <b/>
        <sz val="13"/>
        <color indexed="10"/>
        <rFont val="Angsana New"/>
        <family val="1"/>
      </rPr>
      <t>งบประมาณทั้งสิ้น 450,000 บาท</t>
    </r>
  </si>
  <si>
    <r>
      <t xml:space="preserve">ตามสัญญารับทุนอุดหนุนการวิจัยและ
นวัตกรรม เรื่อง การถ่ายทอดนวัตกรรม
การผลิตปุ๋ยชีวภาพจากของเสี่ยอินทรีย์
ในครัวเรือนด้วยกระบวนการหมักแบบ
ไร้อากาศ จังหวัดชายแดนภาคใต้ งวดที่ 1
</t>
    </r>
    <r>
      <rPr>
        <b/>
        <sz val="13"/>
        <color indexed="10"/>
        <rFont val="Angsana New"/>
        <family val="1"/>
      </rPr>
      <t xml:space="preserve">งบประมาณทั้งสิ้น 580,000 บาท </t>
    </r>
  </si>
  <si>
    <r>
      <t xml:space="preserve">ตามสัญญารับทุนอุดหนุนการวิจัยและ
นวัตกรรม เรื่อง ระบบผลิตไฟฟ้าไมโครกริดพลังงานหมุนเวียนแบบผสมผสานสำหรับ
เกาะสีเขียว กรณีศึกษาเกาะสมุย จังหวัด
สุราษฎร์ธานี งวดที่ 1 
</t>
    </r>
    <r>
      <rPr>
        <b/>
        <sz val="13"/>
        <color indexed="10"/>
        <rFont val="Angsana New"/>
        <family val="1"/>
      </rPr>
      <t xml:space="preserve">งบประมาณทั้งสิ้น 250,000 บาท </t>
    </r>
  </si>
  <si>
    <t>หักงวดสุดท้าย</t>
  </si>
  <si>
    <r>
      <t xml:space="preserve">ตามสัญญารับทุนอุดหนุนการวิจัยและ
นวัตกรรม เรื่อง ชุดการทอลองเคมีย่อส่วนร่วมกับแอปพลิเคชันเพื่อการเรียนรู้ เรื่อง 
สมดุลเคมี งวดที่ 1 
</t>
    </r>
    <r>
      <rPr>
        <b/>
        <sz val="13"/>
        <color indexed="10"/>
        <rFont val="Angsana New"/>
        <family val="1"/>
      </rPr>
      <t xml:space="preserve">งบประมาณทั้งสิ้น 450,000 บาท </t>
    </r>
  </si>
  <si>
    <r>
      <t xml:space="preserve">ตามสัญญารับทุนอุดหนุนการวิจัยและ
นวัตกรรม ทุนพัฒนาศักยภาพในการทำงาน
วิจัยของอาจารย์รุ่นใหม่ประจำปีงบประมาณ 2566 : สัญญาเลขที่ N42A661015 งานวิจัย
เรื่อง ผลของการเจือ Cd2+,Ni2, and Zn2+ 
ต่อโครงสร้าง สมบัติทางไดอิเล็กทริกและ
สมบัติทางไฟฟ้าของวัสดุออกไซด์ A0.25Cu0.75TiO3 การศึกษาด้วยการทดลองและการคำนวณ งวดที่ 1
</t>
    </r>
    <r>
      <rPr>
        <b/>
        <sz val="13"/>
        <color indexed="10"/>
        <rFont val="Angsana New"/>
        <family val="1"/>
      </rPr>
      <t>งบประมาณทั้งสิ้น 600,000.00 บาท</t>
    </r>
    <r>
      <rPr>
        <sz val="13"/>
        <color indexed="8"/>
        <rFont val="Angsana New"/>
        <family val="1"/>
      </rPr>
      <t xml:space="preserve">
</t>
    </r>
    <r>
      <rPr>
        <b/>
        <sz val="13"/>
        <color indexed="10"/>
        <rFont val="Angsana New"/>
        <family val="1"/>
      </rPr>
      <t>หมายเหตุ : ยกเว้นการเรียกเก็บเงินอุดหนุนสถาบันตามประกาศสำนักงาน
การวิจัยแห่งชาติ เรื่อง การรับข้อเสนอ
การวิจัยและนวัตกรรมทุนพัฒนาศักยภาพ
ในการทำงานวิจัยของอาจารย์รุ่นใหม่ 
ประจำปีงบประมาณ 2566 (ข้อที่ 8)</t>
    </r>
  </si>
  <si>
    <r>
      <t>ตามสัญญารับทุนอุดหนุนการวิจัยและ
นวัตกรรม ทุนพัฒนาศักยภาพในการทำงาน
วิจัยของอาจารย์รุ่นใหม่ประจำปีงบประมาณ 2566 : สัญญาเลขที่ N42A661014 งานวิจัย
เรื่อง ความมีชีวิตของเรณูสละอินโดนีเซียและสละเนินวงศ์และผลของความมีชีวิตของเรณู
ต่อการติดผลและคุณลักษณะของผล งวดที่ 1</t>
    </r>
    <r>
      <rPr>
        <b/>
        <sz val="13"/>
        <color indexed="10"/>
        <rFont val="Angsana New"/>
        <family val="1"/>
      </rPr>
      <t>งบประมาณทั้งสิ้น 590,400.00 บาท
หมายเหตุ : ยกเว้นการเรียกเก็บเงินอุดหนุนสถาบันตามประกาศสำนักงาน
การวิจัยแห่งชาติ เรื่อง การรับข้อเสนอ
การวิจัยและนวัตกรรมทุนพัฒนาศักยภาพ
ในการทำงานวิจัยของอาจารย์รุ่นใหม่ 
ประจำปีงบประมาณ 2566 (ข้อที่ 8)</t>
    </r>
  </si>
  <si>
    <r>
      <t xml:space="preserve">ตามสัญญาเลขที่ A11F660039 สัญญาให้ทุน
โครงการ การพัฒนาชุมชนนวัตกรรมแบบ
มีส่วนร่วมเพื่อยกระดับผลิตภัณฑ์ปลาดุกร้า
ในพื้นที่รอบลุ่มทะเลสาบสงขลาอย่างยั่งยืน  </t>
    </r>
    <r>
      <rPr>
        <b/>
        <u/>
        <sz val="13"/>
        <color indexed="8"/>
        <rFont val="Angsana New"/>
        <family val="1"/>
      </rPr>
      <t>โครงการวิจัยย่อยที่ 1</t>
    </r>
    <r>
      <rPr>
        <sz val="13"/>
        <color indexed="8"/>
        <rFont val="Angsana New"/>
        <family val="1"/>
      </rPr>
      <t xml:space="preserve"> การพัฒนานวัตกรรม
การเลี้ยงปลาดุกลูกผสมเพื่อผลิตเป็นวัตถุดิบ
สำหรับแปรรูปผลิตภัณฑ์ปลาดุกร้า งวดที่ 1
</t>
    </r>
    <r>
      <rPr>
        <b/>
        <sz val="13"/>
        <color indexed="10"/>
        <rFont val="Angsana New"/>
        <family val="1"/>
      </rPr>
      <t>วงเงินงบประมาณย่อย 682,000 บาท</t>
    </r>
  </si>
  <si>
    <r>
      <t xml:space="preserve">ตามสัญญาที่ N24A650528 สัญญารับทุน
อุดหนุนการทำกิจกรรมส่งเสริมและสนับสนุน
การวิจัยและนวัตกรรม เรื่อง การเพาะเลี้ยงปลา
ก้างพระร่วง (Kryptopterus Vitreolus) ใน
โรงเพาะฟัก และการพัฒนาเป็นปลาสวยงามเพื่อการส่งออก (ปีที่ 2) งวดที่ 3
</t>
    </r>
    <r>
      <rPr>
        <b/>
        <sz val="13"/>
        <color indexed="10"/>
        <rFont val="Angsana New"/>
        <family val="1"/>
      </rPr>
      <t xml:space="preserve">วงเงินทั้งสิ้น 420,000 บาท </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</si>
  <si>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indexed="8"/>
        <rFont val="Angsana New"/>
        <family val="1"/>
      </rPr>
      <t>โครงการย่อยที่ 2</t>
    </r>
    <r>
      <rPr>
        <sz val="13"/>
        <color indexed="8"/>
        <rFont val="Angsana New"/>
        <family val="1"/>
      </rPr>
      <t xml:space="preserve"> การยกระดับเศรษฐกิจ
ชุมชนด้วยโมเดลธุรกิจชุมชนเกื้อกูลตาม
ภูมินิเวศเขา-นา จังหวัดพัทลุง งวดที่ 1 
</t>
    </r>
    <r>
      <rPr>
        <b/>
        <sz val="13"/>
        <color indexed="10"/>
        <rFont val="Angsana New"/>
        <family val="1"/>
      </rPr>
      <t>วงเงินงบประมาณย่อย 2,700,000 บาท</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</si>
  <si>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indexed="8"/>
        <rFont val="Angsana New"/>
        <family val="1"/>
      </rPr>
      <t>โครงการย่อยที่ 8</t>
    </r>
    <r>
      <rPr>
        <sz val="13"/>
        <color indexed="8"/>
        <rFont val="Angsana New"/>
        <family val="1"/>
      </rPr>
      <t xml:space="preserve"> โมเดลจ้างงานแก้จนคน
ป่าพะยอม การพัฒนาแอปพลิเคชันและดิจิทัล
แพลตฟอร์มเพื่อยกระดับทักษะและการ
จ้างงานแรงงานคนในจังหวัดพัทลุง งวดที่ 1
</t>
    </r>
    <r>
      <rPr>
        <b/>
        <sz val="13"/>
        <color indexed="10"/>
        <rFont val="Angsana New"/>
        <family val="1"/>
      </rPr>
      <t>วงเงินงบประมาณย่อย 1,000,000 บาท</t>
    </r>
  </si>
  <si>
    <r>
      <t xml:space="preserve">ตามสัญญาเลขที่ วช.อว.(อ)(กบท1)/200/2564 
เรื่อง การพัฒนานวัตกรรมอเนกประสงค์
สำหรับบำบัดน้ำเสีย ระยะเวลา 27 เมษายน 
2564 - 26 ตุลาคม 2565 
</t>
    </r>
    <r>
      <rPr>
        <b/>
        <sz val="13"/>
        <color indexed="10"/>
        <rFont val="Angsana New"/>
        <family val="1"/>
      </rPr>
      <t>งบประมาณทั้งสิ้น 450,000 บาท</t>
    </r>
    <r>
      <rPr>
        <sz val="13"/>
        <color indexed="8"/>
        <rFont val="Angsana New"/>
        <family val="1"/>
      </rPr>
      <t xml:space="preserve"> </t>
    </r>
  </si>
  <si>
    <r>
      <t xml:space="preserve">ตามสัญญาเลขที่ N71B650090  เรื่อง 
นวัตกรรมการผลิตปุ๋ยชีวภาพจากวัสดุ
เหลือทิ้งทางการเกษตร ด้วยกระบวนการหมัก
แบบไร้อากาศ ระยะเวลา 31 มกราคม 2565
ถึง 30 มกราคม 2566 
</t>
    </r>
    <r>
      <rPr>
        <b/>
        <sz val="13"/>
        <color indexed="10"/>
        <rFont val="Angsana New"/>
        <family val="1"/>
      </rPr>
      <t>งบประมาณทั้งสิ้น 450,000 บาท</t>
    </r>
    <r>
      <rPr>
        <sz val="13"/>
        <color indexed="8"/>
        <rFont val="Angsana New"/>
        <family val="1"/>
      </rPr>
      <t xml:space="preserve"> </t>
    </r>
  </si>
  <si>
    <r>
      <t xml:space="preserve">ตามสัญญารับทุนอุดหนุนการวิจัยและ
นวัตกรรม เรื่องเครือข่ายความร่วมมือระหว่าง
กลุ่มเกษตรกรสวนปาล์มน้ำมันและสถาน
ประกอบการในการพัฒนาการทำปาล์มน้ำมัน
คุณภาพมูลค่าสูง และการจัดการของเสียแบบ
หมุนเวียนและสร้างมูลค่า งวดที่ 4 
</t>
    </r>
    <r>
      <rPr>
        <b/>
        <sz val="13"/>
        <color indexed="10"/>
        <rFont val="Angsana New"/>
        <family val="1"/>
      </rPr>
      <t>งบประมาณทั้งสิ้น 700,000 บาท</t>
    </r>
    <r>
      <rPr>
        <sz val="13"/>
        <color indexed="8"/>
        <rFont val="Angsana New"/>
        <family val="1"/>
      </rPr>
      <t xml:space="preserve"> </t>
    </r>
  </si>
  <si>
    <r>
      <t xml:space="preserve">ตามสัญญาเลขที่ RII-TDU 001/2566 
ว่าจ้างดำเนินการศึกษาและวิจัยเกี่ยวกับ 
ประสิทธิภาพของสารแอนไทเซนส์ต่อการ
ยับยั้งเชื้อแบคทีเรียวิบริโอในกุ้งขาว ภายในระยะเวลา 3 กรกฎาคม - 2 กันยายน 2566 
งวดที่ 1
</t>
    </r>
    <r>
      <rPr>
        <b/>
        <sz val="13"/>
        <color indexed="10"/>
        <rFont val="Angsana New"/>
        <family val="1"/>
      </rPr>
      <t>วงเงินงบประมาณทั้งสิ้น 128,000 บาท</t>
    </r>
  </si>
  <si>
    <t>19/09/2566</t>
  </si>
  <si>
    <t>PR2-2566:47/47</t>
  </si>
  <si>
    <t>RV00020900066090369</t>
  </si>
  <si>
    <r>
      <t xml:space="preserve">ตามสัญญาเลขที่ RII-TDU 001/2566 
ว่าจ้างดำเนินการศึกษาและวิจัยเกี่ยวกับ 
ประสิทธิภาพของสารแอนไทเซนส์ต่อการ
ยับยั้งเชื้อแบคทีเรียวิบริโอในกุ้งขาว ภายในระยะเวลา 3 กรกฎาคม - 2 กันยายน 2566 
งวดที่ 2
</t>
    </r>
    <r>
      <rPr>
        <b/>
        <sz val="13"/>
        <color indexed="10"/>
        <rFont val="Angsana New"/>
        <family val="1"/>
      </rPr>
      <t>วงเงินงบประมาณทั้งสิ้น 128,000 บาท</t>
    </r>
  </si>
  <si>
    <t>PR2-2566:47/46</t>
  </si>
  <si>
    <t>RV00020900066090371</t>
  </si>
  <si>
    <t>ผศ.ดร.ศุภชัย นิติพันธ์</t>
  </si>
  <si>
    <r>
      <t xml:space="preserve">ตามสัญญาเลขที่ RII-TDU 002/2566 
ว่าจ้างดำเนินการศึกษาและวิจัยเกี่ยวกับ 
ตรวจสารพันธุกรรมของเชื้อแบคทีเรียวิบริโอ
และไวรัสหัวเหลืองในตัวอย่างกุ้งขาวตัวอ่อน
และโตเต็มวัยด้วยวิธีลูกโซ่พอลิเมอร์เรส 
ภายในระยะเวลา 15 สิงหาคม 2566 - 
14 ตุลาคม 2566 งวดที่ 1 
</t>
    </r>
    <r>
      <rPr>
        <b/>
        <sz val="13"/>
        <color indexed="10"/>
        <rFont val="Angsana New"/>
        <family val="1"/>
      </rPr>
      <t>วงเงินงบประมาณทั้งสิ้น 35,000 บาท</t>
    </r>
    <r>
      <rPr>
        <sz val="13"/>
        <color indexed="8"/>
        <rFont val="Angsana New"/>
        <family val="1"/>
      </rPr>
      <t xml:space="preserve"> </t>
    </r>
  </si>
  <si>
    <t>PR2-2566:50/23</t>
  </si>
  <si>
    <t>RV00020900066090620</t>
  </si>
  <si>
    <t>องค์การบริหารส่วน
จังหวัดยะลา</t>
  </si>
  <si>
    <r>
      <t xml:space="preserve">ตามสัญญาจ้างผู้เชี่ยวชาญรายบุคคลหรือ
จ้างที่บริษัทที่ปรึกษา เลขที่ 00381/2566 
ได้ว่าจ้างที่ปรึกษาปฏิบัติงานตามโครงการศึกษาความเป็นไปได้ในการจัดตั้งศูนย์การจัดการขยะอันตรายจากชุมชนแบบครบวงจรจังหวัดยะลา ประจำปีงบประมาณ 2566 </t>
    </r>
    <r>
      <rPr>
        <b/>
        <sz val="13"/>
        <color indexed="10"/>
        <rFont val="Angsana New"/>
        <family val="1"/>
      </rPr>
      <t>งบประมาณทั้งสิ้น 400,000 บาท</t>
    </r>
    <r>
      <rPr>
        <sz val="13"/>
        <color indexed="8"/>
        <rFont val="Angsana New"/>
        <family val="1"/>
      </rPr>
      <t xml:space="preserve"> </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</si>
  <si>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1 
การออกแบบและพัฒนากระบวนการขึ้นรูป
ภาชนะบรรจุอาหารจากกาบหมวก งวดที่ 2 </t>
    </r>
    <r>
      <rPr>
        <b/>
        <sz val="13"/>
        <color indexed="10"/>
        <rFont val="Angsana New"/>
        <family val="1"/>
      </rPr>
      <t>งบประมาณโครงการทั้งสิ้น 775,000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</si>
  <si>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2 การยืด
อายุวัตถุดิบและผลิตภัณฑ์จากกาบหมาก
ภายใต้แบรนด์ กาหลง โดยใช้เทคโนโลยี
ห้องอบความร้อนร่วม งวดที่ 2 
</t>
    </r>
    <r>
      <rPr>
        <b/>
        <sz val="13"/>
        <color indexed="10"/>
        <rFont val="Angsana New"/>
        <family val="1"/>
      </rPr>
      <t>งบประมาณโครงการทั้งสิ้น 844,200 บาท</t>
    </r>
  </si>
  <si>
    <r>
      <t xml:space="preserve">โครงการทุนพัฒนาศักยภาพในการทำงาน
วิจัยของอาจารย์รุ่นใหม่ ปีงบประมาณ 2564 : 
สัญญาเลขที่ RGNS 63-086 งานวิจัยเรื่อง 
การศึกษาเชิงทดลองและเชิงตัวเลขเกี่ยวกับ
ลักษณะเฉพาะของการไหลและการถ่ายเท
ความร้อนของคอนเดนเซอร์แบบท่อติดครีบ
เกลียว งวดที่ 1 (ยกเว้นเงินอุดหนุนสถาบัน)
</t>
    </r>
    <r>
      <rPr>
        <b/>
        <sz val="13"/>
        <color indexed="10"/>
        <rFont val="Angsana New"/>
        <family val="1"/>
      </rPr>
      <t>งบประมาณทั้งสิ้น 582,000.00 บาท</t>
    </r>
    <r>
      <rPr>
        <sz val="13"/>
        <color indexed="10"/>
        <rFont val="Angsana New"/>
        <family val="1"/>
      </rPr>
      <t xml:space="preserve"> </t>
    </r>
  </si>
  <si>
    <r>
      <t>ตามสัญญารับทุนอุดหนุนการวิจัยและ
นวัตกรรม เรื่อง การถ่ายทอดเทคโนโลยีกระบวนการเตรียมผ้าเคลือบน้ำยางพารา
เพื่อเลี้ยงปลามีเงี่ยงในบ่อลอย งวดที่ 1</t>
    </r>
    <r>
      <rPr>
        <b/>
        <sz val="13"/>
        <color indexed="10"/>
        <rFont val="Angsana New"/>
        <family val="1"/>
      </rPr>
      <t>งบประมาณทั้งสิ้น 590,000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</si>
  <si>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1 
การออกแบบและพัฒนากระบวนการขึ้นรูป
ภาชนะบรรจุอาหารจากกาบหมวก งวดที่ 3 </t>
    </r>
    <r>
      <rPr>
        <b/>
        <sz val="13"/>
        <color indexed="10"/>
        <rFont val="Angsana New"/>
        <family val="1"/>
      </rPr>
      <t>งบประมาณโครงการทั้งสิ้น 775,000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</si>
  <si>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2 การยืด
อายุวัตถุดิบและผลิตภัณฑ์จากกาบหมาก
ภายใต้แบรนด์ กาหลง โดยใช้เทคโนโลยี
ห้องอบความร้อนร่วม งวดที่ 3 
</t>
    </r>
    <r>
      <rPr>
        <b/>
        <sz val="13"/>
        <color indexed="10"/>
        <rFont val="Angsana New"/>
        <family val="1"/>
      </rPr>
      <t>งบประมาณโครงการทั้งสิ้น 844,200 บาท</t>
    </r>
  </si>
  <si>
    <r>
      <t xml:space="preserve">ตามสัญญาเลขที่ A13F650041 : สัญญา
ให้ทุนโครงการ โนรา การขับเคลื่อนเศรษฐกิจ
สร้างสรรค์บนพื้นที่ทางวัฒนธรรมลุ่มน้ำ
ทะเลสาบสงขลา ภายใต้แผนงาน การพัฒนา
พื้นที่ด้วยองค์ความรู้จากมหาวิทยาลัย 
โปรแกรม13 พัฒนานวัตกรรมสำหรับเศรษฐกิจ
ฐานรากและชุมชนนวัตกรรมโดยใช้
วิทยาศาสตร์ วิจัยและนวัตกรรมแพลตฟอร์ม 4 
การวิจัยและสร้างนวัตกรรม เพื่อการพัฒนาเชิง
พื้นที่และลดความเหลื่อมล้ำ งวดที่ 2
</t>
    </r>
    <r>
      <rPr>
        <b/>
        <sz val="13"/>
        <color indexed="10"/>
        <rFont val="Angsana New"/>
        <family val="1"/>
      </rPr>
      <t xml:space="preserve">งบประมาณทั้งสิ้น 1,500,000 บาท </t>
    </r>
  </si>
  <si>
    <r>
      <t xml:space="preserve">ตามสัญญารับทุนอุดหนุนการวิจัยและ
นวัตกรรม เรื่อง นวัตกรรมมรดกภูมิปัญญา
อาหารพื้นถิ่นสำรับลังกาสุกะจังหวัดชายแดน
ภาคใต้ งวดที่ 3
</t>
    </r>
    <r>
      <rPr>
        <b/>
        <sz val="13"/>
        <color indexed="10"/>
        <rFont val="Angsana New"/>
        <family val="1"/>
      </rPr>
      <t>งบประมาณทั้งสิ้น 530,000 บาท</t>
    </r>
    <r>
      <rPr>
        <sz val="13"/>
        <color indexed="8"/>
        <rFont val="Angsana New"/>
        <family val="1"/>
      </rPr>
      <t xml:space="preserve"> </t>
    </r>
  </si>
  <si>
    <t>PR2-2566:47/48</t>
  </si>
  <si>
    <t>RV00020900066090370</t>
  </si>
  <si>
    <r>
      <t xml:space="preserve">ตามสัญญารับทุนอุดหนุนการวิจัยและ
นวัตกรรม เรื่อง นวัตกรรมมรดกภูมิปัญญา
อาหารพื้นถิ่นสำรับลังกาสุกะจังหวัดชายแดน
ภาคใต้ งวดที่ 4
</t>
    </r>
    <r>
      <rPr>
        <b/>
        <sz val="13"/>
        <color indexed="10"/>
        <rFont val="Angsana New"/>
        <family val="1"/>
      </rPr>
      <t>งบประมาณทั้งสิ้น 530,000 บาท</t>
    </r>
    <r>
      <rPr>
        <sz val="13"/>
        <color indexed="8"/>
        <rFont val="Angsana New"/>
        <family val="1"/>
      </rPr>
      <t xml:space="preserve"> </t>
    </r>
  </si>
  <si>
    <r>
      <t xml:space="preserve">ตามสัญญาจ้างที่ปรึกษา เลขที่ กอ.5/2565  
ว่าจ้างที่ปรึกษาดำเนินการติดตามและ
ประเมินผลโครงการผลิตครูเพื่อพัฒนาท้องถิ่น 
ประจำปีงบประมาณ พ.ศ. 2564 (ปฏิบัติงาน 
เริ่ม 13/10/2564 ถึง 09/07/2565) เงินประกัน
ผลงานงวดที่ 1
</t>
    </r>
    <r>
      <rPr>
        <b/>
        <sz val="13"/>
        <color indexed="10"/>
        <rFont val="Angsana New"/>
        <family val="1"/>
      </rPr>
      <t xml:space="preserve">วงเงินงบประมาณทั้งสิ้น 3,000,000 บาท </t>
    </r>
  </si>
  <si>
    <r>
      <t xml:space="preserve">ตามสัญญาจ้างที่ปรึกษา เลขที่ กอ.5/2565  
ว่าจ้างที่ปรึกษาดำเนินการติดตามและ
ประเมินผลโครงการผลิตครูเพื่อพัฒนาท้องถิ่น 
ประจำปีงบประมาณ พ.ศ. 2564 (ปฏิบัติงาน 
เริ่ม 13/10/2564 ถึง 09/07/2565) เงินประกัน
ผลงานงวดที่ 2
</t>
    </r>
    <r>
      <rPr>
        <b/>
        <sz val="13"/>
        <color indexed="10"/>
        <rFont val="Angsana New"/>
        <family val="1"/>
      </rPr>
      <t xml:space="preserve">วงเงินงบประมาณทั้งสิ้น 3,000,000 บาท </t>
    </r>
  </si>
  <si>
    <r>
      <t xml:space="preserve">ตามสัญญารับทุนอุดหนุนการวิจัยและ
นวัตกรรม เรื่อง กลไกลการยกระดับทักษะ
สัมมาชีพบนฐานอัตลักษณ์ชุมชนตามศาสตร์
พระราชาสำหรับเยาวชนพื้นที่เกาะ
จังหวัดสตูล งวดที่ 1
</t>
    </r>
    <r>
      <rPr>
        <b/>
        <sz val="13"/>
        <color indexed="10"/>
        <rFont val="Angsana New"/>
        <family val="1"/>
      </rPr>
      <t xml:space="preserve">งบประมาณทั้งสิ้น 600,000 บาท </t>
    </r>
  </si>
  <si>
    <r>
      <t xml:space="preserve">โครงการพัฒนาคุณภาพการศึกษาและ
การพัฒนาท้องถิ่น โดยมีสถาบันอุดมศึกษา
เป็นพี่เลี้ยง เครือข่ายเพื่อการพัฒนาอุดมศึกษาภาคใต้ตอนล่าง ประจำปีงบประมาณ 
พ.ศ.2566 โครงการเรื่อง การพัฒนาทักษะ
ชีวิตและแก้ปัญหาด้านสุขภาพภายหลัง
จากสถานการณ์โควิด 19 โดยใช้กิจกรรม
ทางกายในรูปแบบ PLC สู่สังคมที่ยั่งยืนของ
นักเรียนระดับประถมศึกษา ในโรงเรียนขนาด
เล็กและขนาดกลางเขตจังหวัดสงขลา-พัทลุง 
งวดที่ 1 
</t>
    </r>
    <r>
      <rPr>
        <b/>
        <sz val="13"/>
        <color indexed="10"/>
        <rFont val="Angsana New"/>
        <family val="1"/>
      </rPr>
      <t>งบประมาณทั้งสิ้น 340,000.00 บาท</t>
    </r>
  </si>
  <si>
    <r>
      <t xml:space="preserve">ตามสัญญาเลขที่ A13F660088 สัญญาให้ทุนโครงการ การพัฒนาพื้นที่นวัตกรรมการศึกษาบนฐานข้อมูลครัวเรือนคนจนจังหวัดพัทลุง
ด้วยนวัตกรรมเชิงระบบและนวัตกรรม
การเรียนรู้ งวดที่ 1 
</t>
    </r>
    <r>
      <rPr>
        <b/>
        <sz val="13"/>
        <color indexed="10"/>
        <rFont val="Angsana New"/>
        <family val="1"/>
      </rPr>
      <t xml:space="preserve">งบประมาณทั้งสิ้น 3,600,000 บาท </t>
    </r>
  </si>
  <si>
    <r>
      <t xml:space="preserve">ตามสัญญาเลขที่ A13F660088 สัญญาให้ทุนโครงการ การพัฒนาพื้นที่นวัตกรรมการศึกษาบนฐานข้อมูลครัวเรือนคนจนจังหวัดพัทลุง
ด้วยนวัตกรรมเชิงระบบและนวัตกรรม
การเรียนรู้ 
</t>
    </r>
    <r>
      <rPr>
        <b/>
        <u/>
        <sz val="13"/>
        <color indexed="8"/>
        <rFont val="Angsana New"/>
        <family val="1"/>
      </rPr>
      <t>โครงการวิจัยย่อยที่ 1</t>
    </r>
    <r>
      <rPr>
        <sz val="13"/>
        <color indexed="8"/>
        <rFont val="Angsana New"/>
        <family val="1"/>
      </rPr>
      <t xml:space="preserve"> การพัฒนานวัตกรรม
การบริหารความเป็นอิสระเพื่อสร้างนวัตกร
รุ่นเยาว์ของสถานศึกษาพึ่งตนเอง 
(Stand Alone) โดยใช้หลักปรัชญาเศรษฐกิจ
พอเพียง จังหวัดพัทลุง งวดที่ 1
</t>
    </r>
    <r>
      <rPr>
        <b/>
        <sz val="13"/>
        <color indexed="10"/>
        <rFont val="Angsana New"/>
        <family val="1"/>
      </rPr>
      <t>วงเงินงบประมาณย่อย 1,415,000 บาท</t>
    </r>
    <r>
      <rPr>
        <sz val="13"/>
        <color indexed="8"/>
        <rFont val="Angsana New"/>
        <family val="1"/>
      </rPr>
      <t xml:space="preserve"> </t>
    </r>
  </si>
  <si>
    <r>
      <t xml:space="preserve">ตามสัญญาเลขที่ A13F660088 สัญญาให้ทุนโครงการ การพัฒนาพื้นที่นวัตกรรมการศึกษาบนฐานข้อมูลครัวเรือนคนจนจังหวัดพัทลุง
ด้วยนวัตกรรมเชิงระบบและนวัตกรรม
การเรียนรู้  
</t>
    </r>
    <r>
      <rPr>
        <b/>
        <u/>
        <sz val="13"/>
        <color indexed="8"/>
        <rFont val="Angsana New"/>
        <family val="1"/>
      </rPr>
      <t>โครงการวิจัยย่อยที่ 2</t>
    </r>
    <r>
      <rPr>
        <sz val="13"/>
        <color indexed="8"/>
        <rFont val="Angsana New"/>
        <family val="1"/>
      </rPr>
      <t xml:space="preserve"> การพัฒนาหลักสูตร
ฐานสมรรถนะการเรียนรู้ทักษะอาชีพ โดยใช้
ชุมชนการเรียนรู้ทางวิชาชีพ งวดที่ 1
</t>
    </r>
    <r>
      <rPr>
        <b/>
        <sz val="13"/>
        <color indexed="10"/>
        <rFont val="Angsana New"/>
        <family val="1"/>
      </rPr>
      <t>วงเงินงบประมาณย่อย 1,415,000 บาท</t>
    </r>
    <r>
      <rPr>
        <sz val="13"/>
        <color indexed="8"/>
        <rFont val="Angsana New"/>
        <family val="1"/>
      </rPr>
      <t xml:space="preserve"> </t>
    </r>
  </si>
  <si>
    <r>
      <t xml:space="preserve">ตามรหัสโครงการ 4593395 ระบบบริหาร
จัดการตนเองเพื่อพัฒนาคุณภาพการศึกษา
ในพื้นที่นวัตกรรมการศึกษาจังหวัดสตูล ของมูลนิธิคลองโต๊ะเหล็มอะคาเดมี โดยได้มอบมหาวิทยาลัยทักษิณ ดำเนินการร่วมทุนวิจัยภายใต้โครงการย่อยที่ 3 การออกแบบวัดและ
ประเมินผลตามหลักสูตรฐานสมรรถนะใน
โรงเรียนนำร่องพื้นที่นวัตกรรมการศึกษา 
จ.สตูล งวดที่ 3 
</t>
    </r>
    <r>
      <rPr>
        <b/>
        <sz val="13"/>
        <color indexed="10"/>
        <rFont val="Angsana New"/>
        <family val="1"/>
      </rPr>
      <t xml:space="preserve">งบประมาณโครงการย่อย 499,000 บาท </t>
    </r>
  </si>
  <si>
    <t>PR2-2566:50/40</t>
  </si>
  <si>
    <t>RV00020900066090656</t>
  </si>
  <si>
    <r>
      <t xml:space="preserve">โครงการพัฒนาคุณภาพการศึกษาและ
การพัฒนาท้องถิ่น โดยมีสถาบันอุดมศึกษา
เป็นพี่เลี้ยง เครือข่ายเพื่อการพัฒนาอุดมศึกษาภาคใต้ตอนล่าง ประจำปีงบประมาณ 
พ.ศ.2566 โครงการเรื่อง การพัฒนาทักษะ
ชีวิตและแก้ปัญหาด้านสุขภาพภายหลัง
จากสถานการณ์โควิด 19 โดยใช้กิจกรรม
ทางกายในรูปแบบ PLC สู่สังคมที่ยั่งยืนของ
นักเรียนระดับประถมศึกษา ในโรงเรียนขนาด
เล็กและขนาดกลางเขตจังหวัดสงขลา-พัทลุง 
งวดที่ 2 
</t>
    </r>
    <r>
      <rPr>
        <b/>
        <sz val="13"/>
        <color indexed="10"/>
        <rFont val="Angsana New"/>
        <family val="1"/>
      </rPr>
      <t>งบประมาณทั้งสิ้น 340,000.00 บาท</t>
    </r>
  </si>
  <si>
    <r>
      <t xml:space="preserve">ทุนอุดหนุนดำเนินการวิจัยแผนงานวิจัย เรื่อง 
สำรวจความพึงพอใจของประชาชนที่มีผลต่อ
การดำเนินงานขององค์กรปกครองส่วนท้องถิ่น 
ประจำปีงบประมาณ พ.ศ.2565-2568  
</t>
    </r>
    <r>
      <rPr>
        <sz val="13"/>
        <color indexed="10"/>
        <rFont val="Angsana New"/>
        <family val="1"/>
      </rPr>
      <t>(ค่าหลักประกันสัญญา/เงินประกันผลงาน 
ขององค์การบริหารส่วนตำบลมะม่วงสองต้น อำเภอเมือง จังหวัดนครศรีธรรมราช)</t>
    </r>
  </si>
  <si>
    <r>
      <t xml:space="preserve">ตามสัญญาเลขที่ A13F650068 สัญญาให้ทุน
โครงการ การจัดการเครือข่ายเชิงพื้นที่ด้วยการ
สร้างนวัตกรรมการเรียนรู้บนฐานภูมิปัญญา
ท้องถิ่นเพื่อสร้างต้นแบบการพัฒนาชุมชนปลา
สามน้ำในพื้นที่ลุ่มน้ำทะเลสาบสงขลา : 
โครงการย่อยที่ 3 การจัดการตลาดเพื่อเพิ่ม
ศักยภาพผลิตภัณฑ์ปลาสามน้ำและการ
ท่องเที่ยวโดยชุมชนลุ่มน้ำทะเลสาบสงขลา 
งวดที่ 2
</t>
    </r>
    <r>
      <rPr>
        <b/>
        <sz val="13"/>
        <color indexed="10"/>
        <rFont val="Angsana New"/>
        <family val="1"/>
      </rPr>
      <t>งบประมาณโครงการทั้งสิ้น 650,000 บาท</t>
    </r>
  </si>
  <si>
    <r>
      <t xml:space="preserve">โครงการทุนพัฒนาศักยภาพในการทำงาน
วิจัยของอาจารย์รุ่นใหม่ ปีงบประมาณ 2564 : 
สัญญาเลขที่ RGNS 63-085 งานวิจัยเรื่อง 
ประสิทธิภาพการลงทุนของกิจการกลุ่ม
อุตสาหกรรมเป้าหมายในตลาดหลักทรัพย์
แห่งประเทศไทย : บทบาทการควบตำแหน่ง
ของผู้บริหารและคุณภาพรายงานทางการเงิน 
งวดที่ 2 (ยกเว้นเงินอุดหนุนสถาบัน)
</t>
    </r>
    <r>
      <rPr>
        <b/>
        <sz val="13"/>
        <color indexed="10"/>
        <rFont val="Angsana New"/>
        <family val="1"/>
      </rPr>
      <t>งบประมาณทั้งสิ้น 600,000.00 บาท</t>
    </r>
    <r>
      <rPr>
        <sz val="13"/>
        <color indexed="10"/>
        <rFont val="Angsana New"/>
        <family val="1"/>
      </rPr>
      <t xml:space="preserve"> </t>
    </r>
  </si>
  <si>
    <r>
      <t xml:space="preserve">ตามสัญญารับทุนอุดหนุนการวิจัยและ
นวัตกรรม เรื่อง การพัฒนาศักยภาพการประกอบการของวิสาหกิจชุมชนกลุ่มอาชีพ
ทอผ้าบ้านล่องมุด จังหวัดสงขลา งวดที่ 1
</t>
    </r>
    <r>
      <rPr>
        <b/>
        <sz val="13"/>
        <color indexed="10"/>
        <rFont val="Angsana New"/>
        <family val="1"/>
      </rPr>
      <t xml:space="preserve">งบประมาณทั้งสิ้น 400,000 บาท </t>
    </r>
  </si>
  <si>
    <r>
      <t xml:space="preserve">ตามสัญญาเลขที่ A11F660039 สัญญาให้ทุนโครงการ การพัฒนาชุมชนนวัตกรรมแบบ
มีส่วนร่วมเพื่อยกระดับผลิตภัณฑ์ปลาดุกร้า
ในพื้นที่รอบลุ่มทะเลสาบสงขลาอย่างยั่งยืน </t>
    </r>
    <r>
      <rPr>
        <b/>
        <u/>
        <sz val="13"/>
        <color indexed="8"/>
        <rFont val="Angsana New"/>
        <family val="1"/>
      </rPr>
      <t>โครงการวิจัยย่อยที่ 3</t>
    </r>
    <r>
      <rPr>
        <sz val="13"/>
        <color indexed="8"/>
        <rFont val="Angsana New"/>
        <family val="1"/>
      </rPr>
      <t xml:space="preserve"> การพัฒนาช่องทางการตลาดผลิตภัณฑ์ปลาดุกร้าในพื้นที่รอบ
ลุ่มน้ำทะเลสาบสงขลา งวดที่ 1
</t>
    </r>
    <r>
      <rPr>
        <b/>
        <sz val="13"/>
        <color indexed="10"/>
        <rFont val="Angsana New"/>
        <family val="1"/>
      </rPr>
      <t xml:space="preserve">วงเงินงบประมาณย่อย 466,950 บาท </t>
    </r>
  </si>
  <si>
    <t>07/09/2566</t>
  </si>
  <si>
    <t>PL2-2566:6/1</t>
  </si>
  <si>
    <t>RV00020900066090063</t>
  </si>
  <si>
    <r>
      <t xml:space="preserve">องค์กรปกครองส่วนท้องถิ่น
จำนวน 1 หน่วยงาน
</t>
    </r>
    <r>
      <rPr>
        <b/>
        <sz val="13"/>
        <color indexed="10"/>
        <rFont val="Angsana New"/>
        <family val="1"/>
      </rPr>
      <t>(เทศบาลเมืองระนอง)</t>
    </r>
  </si>
  <si>
    <t>PL2-2566:6/28</t>
  </si>
  <si>
    <t>RV00020900066090657</t>
  </si>
  <si>
    <t>PL2-2566:6/27</t>
  </si>
  <si>
    <t>RV00020900066090658</t>
  </si>
  <si>
    <t xml:space="preserve">ทุนอุดหนุนดำเนินการวิจัยแผนงานวิจัย เรื่อง 
การสำรวจความพึงพอใจของผู้รับบริการ
สำหรับการประเมินประสิทธิภาพและ
ประสิทธิผลการปฏิบัติราชการขององค์กรปกครองส่วนท้องถิ่น ประจำปีงบประมาณ 
พ.ศ. 2566 </t>
  </si>
  <si>
    <t>PL2-2566:6/30</t>
  </si>
  <si>
    <t>RV00020900066090659</t>
  </si>
  <si>
    <t>30/09/2566</t>
  </si>
  <si>
    <t>JV00020900066090098</t>
  </si>
  <si>
    <t>องค์กรปกครองส่วนท้องถิ่น
จำนวน 106 หน่วยงาน</t>
  </si>
  <si>
    <r>
      <t xml:space="preserve">ตามสัญญาเลขที่ A13F650068 สัญญาให้ทุน
โครงการ การจัดการเครือข่ายเชิงพื้นที่ด้วยการ
สร้างนวัตกรรมการเรียนรู้บนฐานภูมิปัญญา
ท้องถิ่นเพื่อสร้างต้นแบบการพัฒนาชุมชนปลา
สามน้ำในพื้นที่ลุ่มน้ำทะเลสาบสงขลา : 
โครงการย่อยที่ 2 การจัดการกระบวนการผลิต
เพื่อลดต้นทุนและเพิ่มมูลค่าผลิตภัณฑ์ปลาสาม
น้ำด้วยเทคโนโลยีและนวัตกรรมในเขตพื้นที่ลุ่ม
ทะเลสาบสงขลา งวดที่ 2 
</t>
    </r>
    <r>
      <rPr>
        <b/>
        <sz val="13"/>
        <color indexed="10"/>
        <rFont val="Angsana New"/>
        <family val="1"/>
      </rPr>
      <t>งบประมาณโครงการทั้งสิ้น 500,000 บาท</t>
    </r>
  </si>
  <si>
    <r>
      <t xml:space="preserve">ตามสัญญาเลขที่ PRP6505031060 
สัญญารับทุนอุดหนุนโครงการวิจัยการเกษตร 
เรื่อง การพัฒนากระบวนการแปรรูปและ
การควบคุมคุณภาพของผลิตภัณฑ์กะปิปลา
ไส้ตันตาแดงโดยใช้วิธีการทำแห้งแบบดั้งเดิม
และวิธีการทำแห้งด้วยตู้อบลมร้อน งวดที่ 1-3 </t>
    </r>
    <r>
      <rPr>
        <b/>
        <sz val="13"/>
        <color indexed="10"/>
        <rFont val="Angsana New"/>
        <family val="1"/>
      </rPr>
      <t>งบประมาณทั้งสิ้น 699,999.00 บาท</t>
    </r>
  </si>
  <si>
    <r>
      <t xml:space="preserve">ตามสัญญาเลขที่ A11F660039 สัญญาให้ทุน
โครงการ การพัฒนาชุมชนนวัตกรรมแบบ
มีส่วนร่วมเพื่อยกระดับผลิตภัณฑ์ปลาดุกร้า
ในพื้นที่รอบลุ่มทะเลสาบสงขลาอย่างยั่งยืน 
งวดที่ 1
</t>
    </r>
    <r>
      <rPr>
        <b/>
        <sz val="13"/>
        <color indexed="10"/>
        <rFont val="Angsana New"/>
        <family val="1"/>
      </rPr>
      <t xml:space="preserve">งบประมาณทั้งสิ้น 3,000,000 บาท </t>
    </r>
  </si>
  <si>
    <r>
      <t xml:space="preserve">ตามสัญญาเลขที่ A11F660039 สัญญาให้ทุน
โครงการ การพัฒนาชุมชนนวัตกรรมแบบ
มีส่วนร่วมเพื่อยกระดับผลิตภัณฑ์ปลาดุกร้า
ในพื้นที่รอบลุ่มทะเลสาบสงขลาอย่างยั่งยืน </t>
    </r>
    <r>
      <rPr>
        <b/>
        <u/>
        <sz val="13"/>
        <color indexed="8"/>
        <rFont val="Angsana New"/>
        <family val="1"/>
      </rPr>
      <t>โครงการวิจัยย่อยที่ 2</t>
    </r>
    <r>
      <rPr>
        <sz val="13"/>
        <color indexed="8"/>
        <rFont val="Angsana New"/>
        <family val="1"/>
      </rPr>
      <t xml:space="preserve"> นวัตกรรมเพื่อ
การยกระดับคุณภาพผลิตภัณฑ์ปลาดุกร้า
และการสร้างมูลค่าเพิ่มวัสดุเศษเหลือจาก
กระบวนการผลิตปลาดุกร้าในพื้นที่รอบลุ่ม
ทะเลสาบสงขลา งวดที่ 1
</t>
    </r>
    <r>
      <rPr>
        <b/>
        <sz val="13"/>
        <color indexed="10"/>
        <rFont val="Angsana New"/>
        <family val="1"/>
      </rPr>
      <t>วงเงินงบประมาณย่อย 1,169,232 บาท</t>
    </r>
    <r>
      <rPr>
        <sz val="13"/>
        <color indexed="8"/>
        <rFont val="Angsana New"/>
        <family val="1"/>
      </rPr>
      <t xml:space="preserve"> </t>
    </r>
  </si>
  <si>
    <r>
      <t xml:space="preserve">ตามสัญญาเลขที่ PRP6505031060 
สัญญารับทุนอุดหนุนโครงการวิจัยการเกษตร 
เรื่อง การพัฒนากระบวนการแปรรูปและ
การควบคุมคุณภาพของผลิตภัณฑ์กะปิปลา
ไส้ตันตาแดงโดยใช้วิธีการทำแห้งแบบดั้งเดิม
และวิธีการทำแห้งด้วยตู้อบลมร้อน งวดที่ 4 </t>
    </r>
    <r>
      <rPr>
        <b/>
        <sz val="13"/>
        <color indexed="10"/>
        <rFont val="Angsana New"/>
        <family val="1"/>
      </rPr>
      <t>งบประมาณทั้งสิ้น 699,999.00 บาท</t>
    </r>
  </si>
  <si>
    <t>กำกับดูแลสถาบันวิจัย
และพัฒนา</t>
  </si>
  <si>
    <r>
      <t xml:space="preserve">ตามสัญญาจ้างที่ปรึกษา เลขที่ 88/2565 
ว่าจ้างที่ปรึกษาโครงการสำรวจจัดทำข้อมูล
และข้อเสนอในการแก้ไขปัญหาด้านสิทธิใน
สถานะบุคคลตามกฎหมายของประชากรที่ไม่
สามารถเข้าสู่กระบวนการขอรับรองความเป็น
คนไทยพลัดถิ่นในพื้นที่จังหวัดชุมพร ระนอง 
ประจวบคีรีขันธ์ และพังงา งวดที่ 2
</t>
    </r>
    <r>
      <rPr>
        <b/>
        <sz val="13"/>
        <color indexed="10"/>
        <rFont val="Angsana New"/>
        <family val="1"/>
      </rPr>
      <t>วงเงินงบประมาณทั้งสิ้น 500,000 บาท</t>
    </r>
    <r>
      <rPr>
        <sz val="13"/>
        <color indexed="8"/>
        <rFont val="Angsana New"/>
        <family val="1"/>
      </rPr>
      <t xml:space="preserve"> </t>
    </r>
  </si>
  <si>
    <r>
      <t>ตามสัญญาเลขที่ A14F640066 ของ สัญญา
ให้ทุนโครงการวิจัยและนวัตกรรมเพื่อแก้ไขปัญหาความยากจนอย่างเบ็ดเสร็จและแม่นยำในจังหวัดพัทลุง (</t>
    </r>
    <r>
      <rPr>
        <b/>
        <sz val="13"/>
        <color indexed="10"/>
        <rFont val="Angsana New"/>
        <family val="1"/>
      </rPr>
      <t>สำหรับงบลงทุน/ครุภัณฑ์)</t>
    </r>
    <r>
      <rPr>
        <sz val="13"/>
        <color indexed="8"/>
        <rFont val="Angsana New"/>
        <family val="1"/>
      </rPr>
      <t xml:space="preserve">
งวดสุดท้าย
</t>
    </r>
    <r>
      <rPr>
        <b/>
        <sz val="13"/>
        <color indexed="10"/>
        <rFont val="Angsana New"/>
        <family val="1"/>
      </rPr>
      <t>งบประมาณทั้งสิ้น 7,700,000 บาท</t>
    </r>
    <r>
      <rPr>
        <b/>
        <sz val="13"/>
        <color indexed="8"/>
        <rFont val="Angsana New"/>
        <family val="1"/>
      </rPr>
      <t xml:space="preserve"> </t>
    </r>
    <r>
      <rPr>
        <sz val="13"/>
        <color indexed="8"/>
        <rFont val="Angsana New"/>
        <family val="1"/>
      </rPr>
      <t xml:space="preserve">
</t>
    </r>
  </si>
  <si>
    <r>
      <t xml:space="preserve">ตามสัญญาจ้างที่ปรึกษา เลขที่ 88/2565 
ว่าจ้างที่ปรึกษาโครงการสำรวจจัดทำข้อมูล
และข้อเสนอในการแก้ไขปัญหาด้านสิทธิใน
สถานะบุคคลตามกฎหมายของประชากรที่ไม่
สามารถเข้าสู่กระบวนการขอรับรองความเป็น
คนไทยพลัดถิ่นในพื้นที่จังหวัดชุมพร ระนอง 
ประจวบคีรีขันธ์ และพังงา งวดที่ 3
</t>
    </r>
    <r>
      <rPr>
        <b/>
        <sz val="13"/>
        <color indexed="10"/>
        <rFont val="Angsana New"/>
        <family val="1"/>
      </rPr>
      <t>วงเงินงบประมาณทั้งสิ้น 500,000 บาท</t>
    </r>
    <r>
      <rPr>
        <sz val="13"/>
        <color indexed="8"/>
        <rFont val="Angsana New"/>
        <family val="1"/>
      </rPr>
      <t xml:space="preserve"> </t>
    </r>
  </si>
  <si>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t>
    </r>
    <r>
      <rPr>
        <b/>
        <sz val="13"/>
        <color indexed="8"/>
        <rFont val="Angsana New"/>
        <family val="1"/>
      </rPr>
      <t>(งบประมาณทั้งสิ้น 8,500,000 บาท)</t>
    </r>
    <r>
      <rPr>
        <sz val="13"/>
        <color indexed="8"/>
        <rFont val="Angsana New"/>
        <family val="1"/>
      </rPr>
      <t xml:space="preserve"> 
โดยแบ่งเป็นโครงการบริหารจัดการเพื่อแก้ไข
ปัญหาความยากจนระดับจังหวัดพัทลุง งวดที่ 2
</t>
    </r>
    <r>
      <rPr>
        <b/>
        <sz val="13"/>
        <color indexed="10"/>
        <rFont val="Angsana New"/>
        <family val="1"/>
      </rPr>
      <t>งบประมาณทั้งสิ้น 3,066,837 บาท</t>
    </r>
    <r>
      <rPr>
        <sz val="13"/>
        <color indexed="8"/>
        <rFont val="Angsana New"/>
        <family val="1"/>
      </rPr>
      <t xml:space="preserve"> </t>
    </r>
  </si>
  <si>
    <r>
      <t xml:space="preserve">ตามสัญญาเลขที่ A13F640040 ของ สัญญา
ให้ทุนโครงการ การจัดการเชิงพื้นที่ด้วย
นวัตกรรมเพื่อเพิ่มประสิทธิภาพการผลิตและ
ยกระดับผลิตภัณฑ์ปลาสามน้ำในเขตพื้นที่
ลุ่มทะเลสาบสงขลา งวดที่ 3
</t>
    </r>
    <r>
      <rPr>
        <b/>
        <sz val="13"/>
        <color indexed="10"/>
        <rFont val="Angsana New"/>
        <family val="1"/>
      </rPr>
      <t xml:space="preserve">งบประมาณทั้งสิ้น 4,828,000 บาท </t>
    </r>
    <r>
      <rPr>
        <sz val="13"/>
        <color indexed="8"/>
        <rFont val="Angsana New"/>
        <family val="1"/>
      </rPr>
      <t xml:space="preserve"> 
</t>
    </r>
    <r>
      <rPr>
        <b/>
        <sz val="13"/>
        <color indexed="10"/>
        <rFont val="Angsana New"/>
        <family val="1"/>
      </rPr>
      <t>หมายเหตุ : งวดที่ 1 = 2,385,900 บาท ไม่ได้นำส่งมหาวิทยาลัย และในงวดที่ 3
ได้หักเงินเหลือจากงวดที่ 1-2 เป็นเงิน
3,762.61 บาท ก่อนโอนงวดที่ 3</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</si>
  <si>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งวดที่ 1
</t>
    </r>
    <r>
      <rPr>
        <b/>
        <sz val="13"/>
        <color indexed="10"/>
        <rFont val="Angsana New"/>
        <family val="1"/>
      </rPr>
      <t>งบประมาณทั้งสิ้น 21,000,000 บาท</t>
    </r>
    <r>
      <rPr>
        <sz val="13"/>
        <color indexed="8"/>
        <rFont val="Angsana New"/>
        <family val="1"/>
      </rPr>
      <t xml:space="preserve"> </t>
    </r>
  </si>
  <si>
    <r>
      <t xml:space="preserve">ตามสัญญาเลขที่ C10F640150 โครงการ
การพัฒนาการเชื่อมโยงการท่องเที่ยวอุทยาน
ธรณีโลกสตูลกับอุทยานธรณีโลกลังกาวี 
ภายใต้แผนงาน การขับเคลื่อนเศรษฐกิจ
ชีวภาพ-เศรษฐกิจหมุนเวียน-เศรษฐกิจสีเขียว 
โครงการย่อยที่ 2 การส่งเสริมการท่องเที่ยว
ตามขีดความสามารถในการรองรับได้ในพื้นที่
อุทยานธรณีโลกสตูล งวดที่ 2
</t>
    </r>
    <r>
      <rPr>
        <b/>
        <sz val="13"/>
        <color indexed="10"/>
        <rFont val="Angsana New"/>
        <family val="1"/>
      </rPr>
      <t>วงเงินทั้งสิ้น 559,130 บาท</t>
    </r>
    <r>
      <rPr>
        <b/>
        <sz val="13"/>
        <color indexed="8"/>
        <rFont val="Angsana New"/>
        <family val="1"/>
      </rPr>
      <t xml:space="preserve"> </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</si>
  <si>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rFont val="Angsana New"/>
        <family val="1"/>
      </rPr>
      <t>โครงการย่อยที่ 7</t>
    </r>
    <r>
      <rPr>
        <sz val="13"/>
        <rFont val="Angsana New"/>
        <family val="1"/>
      </rPr>
      <t xml:space="preserve">  ท่องเที่ยวชุมชนแก้จน 
ยลวิถีเมืองลุง งวดที่ 1
</t>
    </r>
    <r>
      <rPr>
        <b/>
        <sz val="13"/>
        <color indexed="10"/>
        <rFont val="Angsana New"/>
        <family val="1"/>
      </rPr>
      <t>วงเงินงบประมาณย่อย 1,000,000 บาท</t>
    </r>
  </si>
  <si>
    <r>
      <t xml:space="preserve">ตามสัญญาเลขที่ C10F640150 โครงการ
การพัฒนาการเชื่อมโยงการท่องเที่ยวอุทยาน
ธรณีโลกสตูลกับอุทยานธรณีโลกลังกาวี 
ภายใต้แผนงาน การขับเคลื่อนเศรษฐกิจ
ชีวภาพ-เศรษฐกิจหมุนเวียน-เศรษฐกิจสีเขียว 
โครงการย่อยที่ 2 การส่งเสริมการท่องเที่ยว
ตามขีดความสามารถในการรองรับได้ในพื้นที่
อุทยานธรณีโลกสตูล งวดที่ 3
</t>
    </r>
    <r>
      <rPr>
        <b/>
        <sz val="13"/>
        <color indexed="10"/>
        <rFont val="Angsana New"/>
        <family val="1"/>
      </rPr>
      <t xml:space="preserve">วงเงินทั้งสิ้น 559,130 บาท </t>
    </r>
    <r>
      <rPr>
        <sz val="13"/>
        <rFont val="Angsana New"/>
        <family val="1"/>
      </rPr>
      <t xml:space="preserve">
</t>
    </r>
    <r>
      <rPr>
        <b/>
        <sz val="13"/>
        <color indexed="10"/>
        <rFont val="Angsana New"/>
        <family val="1"/>
      </rPr>
      <t>หมายเหตุ : งวดที่ 3 มีการปรับลดวงเงินงบประมาณเหลือเพียง 9,541.50 บ.เนื่องจากส่งงานช้ากว่ากำหนด</t>
    </r>
  </si>
  <si>
    <r>
      <t xml:space="preserve">รศ.ดร.สมพงค์ โอทอง 
</t>
    </r>
    <r>
      <rPr>
        <b/>
        <u/>
        <sz val="13"/>
        <color indexed="8"/>
        <rFont val="Angsana New"/>
        <family val="1"/>
      </rPr>
      <t>ร่วมกับ ดร.จิราวุฒิ สีเงินยวง</t>
    </r>
  </si>
  <si>
    <r>
      <t xml:space="preserve">ตามสัญญาเลขที่ B13F660062 สนับสนุนทุนการวิจัยให้กับมหาวิทยาลัยวลัยลักษณํ 
ภายใต้โครงการพัฒนาบุคลากรด้านการวิจัยและพัฒนาที่มีศักยภาพสูงสำหรับการยกระดับการใช้ประโยชน์จากอุตสาหกรรมปาล์มน้ำมัน
สู่ผลิตภัณฑ์มูลค่าสูง โดยมหาวิทยาลัยทักษิณเข้าร่วมภายใต้โครงการวิจัย การพัฒนาเทคโนโลยีผลิตไบโอไฮเทนและกรดอะซิติก
แบบปลดปล่อยคาร์บอนไดออกไซต์เป็นศูนย์จากวัสดุเศษเหลืออุตสาหกรรมปาล์มน้ำมัน
ด้วยกระบวนการหมักไร้อากาศสองขั้นตอน
และการเปลี่ยนคาร์บอนไดออกไซด์เป็นกรด
อะซิติกด้วย Clostridium thailandense 
TISTR 2984 
</t>
    </r>
    <r>
      <rPr>
        <b/>
        <sz val="13"/>
        <color indexed="10"/>
        <rFont val="Angsana New"/>
        <family val="1"/>
      </rPr>
      <t>งบประมาณจากมหาวิทยาลัยวลัยลักษณ์ 
วงเงิน 600,000 บาท และบริษัทเอกชน 
วงเงิน 90,000 บาท</t>
    </r>
  </si>
  <si>
    <r>
      <t xml:space="preserve">รศ.ดร.สมพงค์ โอทอง 
</t>
    </r>
    <r>
      <rPr>
        <b/>
        <u/>
        <sz val="13"/>
        <color indexed="8"/>
        <rFont val="Angsana New"/>
        <family val="1"/>
      </rPr>
      <t>ร่วมกับ นางสาวชลธิชา เลี่ยมดำ</t>
    </r>
  </si>
  <si>
    <r>
      <t xml:space="preserve">ตามสัญญาเลขที่ B13F660062 สนับสนุนทุนการวิจัยให้กับมหาวิทยาลัยวลัยลักษณํ 
ภายใต้โครงการพัฒนาบุคลากรด้านการวิจัยและพัฒนาที่มีศักยภาพสูงสำหรับการยกระดับการใช้ประโยชน์จากอุตสาหกรรมปาล์มน้ำมัน
สู่ผลิตภัณฑ์มูลค่าสูง โดยมหาวิทยาลัยทักษิณเข้าร่วมภายใต้โครงการวิจัย การลดการปล่อยก๊าซเรือนกระจกในบ่อหลังการผลิตก๊าซ
ชีวภาพของโรงงานสกัดน้ำมันปาล์มด้วย
จุลลินทรีย์กลุ่มเมทาโนโทรฟ 
</t>
    </r>
    <r>
      <rPr>
        <b/>
        <sz val="13"/>
        <color indexed="10"/>
        <rFont val="Angsana New"/>
        <family val="1"/>
      </rPr>
      <t>งบประมาณจากมหาวิทยาลัยวลัยลักษณ์ 
วงเงิน 360,000 บาท และบริษัทเอกชน 
วงเงิน 40,000 บาท</t>
    </r>
  </si>
  <si>
    <r>
      <t xml:space="preserve">ตามสัญญาเลขที่ A11F660022 ให้ทุน
โครงการ กริชสกุลช่างสงขลา การสร้าง
คุณค่าและการจัดการทุนทางวัฒนธรรม
แบบมีส่วนร่วมเพื่อพัฒนาเศรษฐกิจฐานราก
อย่างยั่งยืน งวดที่ 1 
</t>
    </r>
    <r>
      <rPr>
        <b/>
        <sz val="13"/>
        <color indexed="10"/>
        <rFont val="Angsana New"/>
        <family val="1"/>
      </rPr>
      <t>งบประมาณทั้งสิ้น 2,000,000 บาท</t>
    </r>
  </si>
  <si>
    <r>
      <t xml:space="preserve">ตามใบสั่งจ้างเลขที่ จ253/2566 ว่าจ้างศึกษา
สถานการณ์และออกแบบกิจกรรมด้าน
เศรษฐกิจสร้างสรรค์ และกิจกรรม Soft Power 
ในจังหวัดสงขลา งวดที่ 1 
</t>
    </r>
    <r>
      <rPr>
        <b/>
        <sz val="13"/>
        <color indexed="10"/>
        <rFont val="Angsana New"/>
        <family val="1"/>
      </rPr>
      <t>งบประมาณทั้งสิ้น 500,000 บาท</t>
    </r>
    <r>
      <rPr>
        <sz val="13"/>
        <color indexed="8"/>
        <rFont val="Angsana New"/>
        <family val="1"/>
      </rPr>
      <t xml:space="preserve"> </t>
    </r>
  </si>
  <si>
    <t>04/09/2566</t>
  </si>
  <si>
    <t>PR2-2566:43/47</t>
  </si>
  <si>
    <t>RV00020900066090021</t>
  </si>
  <si>
    <t>นายเทพรัตน์ จันทพันธ์</t>
  </si>
  <si>
    <t>กรมส่งเสริมวัฒนธรรม</t>
  </si>
  <si>
    <r>
      <t xml:space="preserve">ตามบันทึกข้อตกลงความร่วมมือได้สนับสนุน
งบประมาณในการดำเนินโครงการศึกษา
สถานภาพโนรา : มรดกวัฒนธรรมที่จับต้อง
ไม่ได้ของมนุษยชาติ 
</t>
    </r>
    <r>
      <rPr>
        <b/>
        <sz val="13"/>
        <color indexed="10"/>
        <rFont val="Angsana New"/>
        <family val="1"/>
      </rPr>
      <t xml:space="preserve">วงเงินงบประมาณทั้งสิ้น 350,000 บาท </t>
    </r>
  </si>
  <si>
    <t>ค้างส่งค่าธรรมเนียมวิจัย หรือ
เงินอุดหนุน
สถาบัน</t>
  </si>
  <si>
    <t>13/09/2566</t>
  </si>
  <si>
    <t>PR2-2566:45/42</t>
  </si>
  <si>
    <t>RV00020900066090212</t>
  </si>
  <si>
    <t>นายบุญเลิศ จันทระ</t>
  </si>
  <si>
    <t>สำนักงานคณะกรรมการ
กำกับกิจการพลังงาน 
(กองทุนพัฒนาไฟฟ้า
โรงไฟฟ้าจะนะ จังหวัด
สงขลา)</t>
  </si>
  <si>
    <r>
      <t xml:space="preserve">ตามใบสั่งจ้างเลขที่ กฟ(9001)28/2566 
สำหรับรายการจ้างจัดทำแผนยุทธศาสตร์กองทุนพัฒนาไฟฟ้าโรงไฟฟ้าจะนะ จังหวัด
สงขลา พ.ศ.2568 - พ.ศ.2570 (3 ปี) </t>
    </r>
    <r>
      <rPr>
        <b/>
        <sz val="13"/>
        <color indexed="10"/>
        <rFont val="Angsana New"/>
        <family val="1"/>
      </rPr>
      <t xml:space="preserve">งบประมาณทั้งสิ้น 500,000 บาท </t>
    </r>
  </si>
  <si>
    <t>25/09/2566</t>
  </si>
  <si>
    <t>PR2-2566:49/16</t>
  </si>
  <si>
    <t>RV00020900066090468</t>
  </si>
  <si>
    <r>
      <t xml:space="preserve">ตามใบสั่งจ้างเลขที่ จ253/2566 ว่าจ้างศึกษา
สถานการณ์และออกแบบกิจกรรมด้าน
เศรษฐกิจสร้างสรรค์ และกิจกรรม Soft Power 
ในจังหวัดสงขลา งวดที่ 2 
</t>
    </r>
    <r>
      <rPr>
        <b/>
        <sz val="13"/>
        <color indexed="10"/>
        <rFont val="Angsana New"/>
        <family val="1"/>
      </rPr>
      <t>งบประมาณทั้งสิ้น 500,000 บาท</t>
    </r>
    <r>
      <rPr>
        <sz val="13"/>
        <color indexed="8"/>
        <rFont val="Angsana New"/>
        <family val="1"/>
      </rPr>
      <t xml:space="preserve"> </t>
    </r>
  </si>
  <si>
    <t>RV00020900066120353
JV00020900066120094</t>
  </si>
  <si>
    <r>
      <t>สถาบันปฏิบัติการชุมชนเพื่อการศึกษาแบบ
บูรณาการ</t>
    </r>
    <r>
      <rPr>
        <b/>
        <i/>
        <sz val="13"/>
        <color indexed="8"/>
        <rFont val="Angsana New"/>
        <family val="1"/>
      </rPr>
      <t xml:space="preserve"> </t>
    </r>
    <r>
      <rPr>
        <b/>
        <u/>
        <sz val="13"/>
        <color indexed="8"/>
        <rFont val="Angsana New"/>
        <family val="1"/>
      </rPr>
      <t>เปลี่ยนชื่อเป็น
สถาบันปฏิบัติการชุมชนและการเรียนรู้ตลอดชีวิต</t>
    </r>
  </si>
  <si>
    <r>
      <t xml:space="preserve">ตามสัญญาเลขที่ N71B650095 การวิจัยเรื่อง 
ชุมชนต้นแบบนวัตกรรมผลิตผักอินทรีย์ระบบ
โรงเรือนต้นทุนต่ำของเครือข่ายกลุ่มวิสาหกิจ
ชุมชนเกษตรอินทรีย์บ้านทุ่งยาวพัฒนา อำเภอ
เขาชัยสน จังหวัดพัทลุง เพื่อความมั่นคงทาง
อาหารตามแนวหลักปรัชญาของเศรษฐกิจ
พอเพียง  (ระยะเวลา 31 มกราคม 2565 - 
30 มกราคม 2566) 
</t>
    </r>
    <r>
      <rPr>
        <b/>
        <sz val="13"/>
        <color indexed="10"/>
        <rFont val="Angsana New"/>
        <family val="1"/>
      </rPr>
      <t xml:space="preserve">งบประมาณทั้งสิ้น 500,000 บาท </t>
    </r>
  </si>
  <si>
    <r>
      <t xml:space="preserve">ตามสัญญาเลขที่ A13F660175 สัญญาให้ทุน
โครงการ ทะเลสาบสงขลานิเวศแห่งการเรียนรู้
สู่เมืองมรดกโลก งวดที่ 1 
</t>
    </r>
    <r>
      <rPr>
        <b/>
        <sz val="13"/>
        <color indexed="10"/>
        <rFont val="Angsana New"/>
        <family val="1"/>
      </rPr>
      <t>งบประมาณทั้งสิ้น 500,000 บาท</t>
    </r>
    <r>
      <rPr>
        <sz val="13"/>
        <color indexed="8"/>
        <rFont val="Angsana New"/>
        <family val="1"/>
      </rPr>
      <t xml:space="preserve"> </t>
    </r>
  </si>
  <si>
    <t>สำนักส่งเสริมบริการวิชาการและภูมิปัญญาชุมชน</t>
  </si>
  <si>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indexed="8"/>
        <rFont val="Angsana New"/>
        <family val="1"/>
      </rPr>
      <t>โครงการย่อยที่ 6</t>
    </r>
    <r>
      <rPr>
        <sz val="13"/>
        <color indexed="8"/>
        <rFont val="Angsana New"/>
        <family val="1"/>
      </rPr>
      <t xml:space="preserve"> แพลนต์เบสฟู๊ดปันสุข 
กงหรา งวดที่ 1
</t>
    </r>
    <r>
      <rPr>
        <b/>
        <sz val="13"/>
        <color indexed="10"/>
        <rFont val="Angsana New"/>
        <family val="1"/>
      </rPr>
      <t>วงเงินงบประมาณย่อย  1,000,000 บาท</t>
    </r>
  </si>
  <si>
    <t>คณะวิทยาศาสตร์และนวัตกรรมดิจิทัล</t>
  </si>
  <si>
    <t>18/10/2566</t>
  </si>
  <si>
    <t>PR2-2567:1/29</t>
  </si>
  <si>
    <t>RV00021000067100059</t>
  </si>
  <si>
    <t>17/10/2566</t>
  </si>
  <si>
    <t>PR2-2567:1/25</t>
  </si>
  <si>
    <t>RV00021000067100050</t>
  </si>
  <si>
    <t>PR2-2567:1/26</t>
  </si>
  <si>
    <t>RV00021000067100049</t>
  </si>
  <si>
    <t>20/10/2566</t>
  </si>
  <si>
    <t>PR2-2567:1/40</t>
  </si>
  <si>
    <t>RV00021000067100075</t>
  </si>
  <si>
    <t>อาจารย์ปริยากรณ์ ชูแก้ว</t>
  </si>
  <si>
    <t>19/10/2566</t>
  </si>
  <si>
    <t>PR2-2567:1/30</t>
  </si>
  <si>
    <t>RV00021000067100060</t>
  </si>
  <si>
    <t>PR2-2567:1/28</t>
  </si>
  <si>
    <t>RV00021000067100058</t>
  </si>
  <si>
    <t>PR2-2567:1/35</t>
  </si>
  <si>
    <t>RV00021000067100070</t>
  </si>
  <si>
    <t>RV00021000067100076</t>
  </si>
  <si>
    <t>31/10/2566</t>
  </si>
  <si>
    <t>PL2-2567:1/22</t>
  </si>
  <si>
    <t>RV00021000067100176</t>
  </si>
  <si>
    <t>องค์กรปกครองส่วนท้องถิ่น
จำนวน 11 หน่วยงาน</t>
  </si>
  <si>
    <t>PR2-2567:1/24</t>
  </si>
  <si>
    <t>RV00021000067100051</t>
  </si>
  <si>
    <t xml:space="preserve">มหาวิทยาลัยสงขลานครินทร์ </t>
  </si>
  <si>
    <t>PR2-2567:3/19</t>
  </si>
  <si>
    <t>RV00021000067100179</t>
  </si>
  <si>
    <t>สำหรับเงินสนับสนุนค่าธรรมเนียมอุดหนุน
สถาบัน  สำหรับโครงการที่ 2 การประเมินประสิทธิภาพและความปลอดภัยของ
ผลิตภัณฑ์สมุนไพรพืชกระท่อมเพื่อสุขภาพ 
งวดที่ 3 (เงินสนับสนุนจากโครงการวิจัย
จากหน่วยบริหารจัดการทุนด้านการเพิ่มความสามารถในการแข่งขันของประเทศ และสำนักงานการวิจัยแห่งชาติ)</t>
  </si>
  <si>
    <t>PL2-2567:1/20</t>
  </si>
  <si>
    <t>RV00021000067100178</t>
  </si>
  <si>
    <t>สถาบันส่งเสริมการบริการวิชาการ</t>
  </si>
  <si>
    <t>02/11/2566</t>
  </si>
  <si>
    <t>PR2-2567:3/36</t>
  </si>
  <si>
    <t>RV00021000067110014</t>
  </si>
  <si>
    <t>06/11/2566</t>
  </si>
  <si>
    <t>PR2-2567:3/47</t>
  </si>
  <si>
    <t>RV00021000067110046</t>
  </si>
  <si>
    <t>องค์การบริหารส่วนจังหวัดสงขลา</t>
  </si>
  <si>
    <t>08/11/2566</t>
  </si>
  <si>
    <t>PR2-2567:4/4</t>
  </si>
  <si>
    <t>RV00021000067110065</t>
  </si>
  <si>
    <t>13/11/2566</t>
  </si>
  <si>
    <t>PR2-2567:5/8</t>
  </si>
  <si>
    <t>RV00021000067110123</t>
  </si>
  <si>
    <t>16/11/2566</t>
  </si>
  <si>
    <t>PL2-2567:1/43</t>
  </si>
  <si>
    <t>RV00021000067110149</t>
  </si>
  <si>
    <t>21/11/2566</t>
  </si>
  <si>
    <t>PR2-2567:6/8</t>
  </si>
  <si>
    <t>RV00021000067110206</t>
  </si>
  <si>
    <t>23/11/2566</t>
  </si>
  <si>
    <t>PL2-2567:2/6</t>
  </si>
  <si>
    <t>RV00021000067110232</t>
  </si>
  <si>
    <t>17/11/2566</t>
  </si>
  <si>
    <t>PR2-2567:5/35</t>
  </si>
  <si>
    <t>RV00021000067110173</t>
  </si>
  <si>
    <t>PR2-2567:5/7</t>
  </si>
  <si>
    <t>RV00021000067110122</t>
  </si>
  <si>
    <t xml:space="preserve"> มหาวิทยาลัยทักษิณ</t>
  </si>
  <si>
    <t>รายงานรายได้เพื่อการวิจัยจากแหล่งทุนภายนอก - สรุปรายรับ(100%) จำแนกรายเดือน</t>
  </si>
  <si>
    <t>ที่</t>
  </si>
  <si>
    <t>จำนวนเงินรับ  (100%)</t>
  </si>
  <si>
    <t>ต.ค.66</t>
  </si>
  <si>
    <t>พ.ย.66</t>
  </si>
  <si>
    <t>ธ.ค.66</t>
  </si>
  <si>
    <t>ม.ค.67</t>
  </si>
  <si>
    <t>ก.พ.67</t>
  </si>
  <si>
    <t>มี.ค.67</t>
  </si>
  <si>
    <t>เม.ย.67</t>
  </si>
  <si>
    <t>พ.ค.67</t>
  </si>
  <si>
    <t>มิ.ย.67</t>
  </si>
  <si>
    <t>ก.ค.67</t>
  </si>
  <si>
    <t>ส.ค.67</t>
  </si>
  <si>
    <t>ก.ย.67</t>
  </si>
  <si>
    <t>04/12/2566</t>
  </si>
  <si>
    <t>PR2-2567:7/6</t>
  </si>
  <si>
    <t>RV00021000067120012</t>
  </si>
  <si>
    <t>อาจารย์บงกช ดารารัตน์</t>
  </si>
  <si>
    <t>18/12/2566</t>
  </si>
  <si>
    <t>PR2-2567:8/15</t>
  </si>
  <si>
    <t>RV00021000067120168</t>
  </si>
  <si>
    <t>19/12/2566</t>
  </si>
  <si>
    <t>PR2-2567:9/27</t>
  </si>
  <si>
    <t>RV00021000067120192</t>
  </si>
  <si>
    <t>22/12/2566</t>
  </si>
  <si>
    <t>PL2-2567:2/33</t>
  </si>
  <si>
    <t>RV00021000067120249</t>
  </si>
  <si>
    <t>26/12/2566</t>
  </si>
  <si>
    <t>PL2-2567:2/38</t>
  </si>
  <si>
    <t>RV00021000067120280</t>
  </si>
  <si>
    <t xml:space="preserve">ทุนอุดหนุนดำเนินการวิจัยแผนงานวิจัย เรื่อง 
การสำรวจความพึงพอใจของผู้รับบริการ
สำหรับการประเมินประสิทธิภาพและ
ประสิทธิผลการปฏิบัติราชการขององค์กร
ปกครองส่วนท้องถิ่น ประจำปีงบประมาณ 
พ.ศ. 2566 </t>
  </si>
  <si>
    <t>08/01/2567</t>
  </si>
  <si>
    <t>PR2-2567:12/10</t>
  </si>
  <si>
    <t>RV00021000067010087</t>
  </si>
  <si>
    <t>05/01/2567</t>
  </si>
  <si>
    <t>PR2-2567:11/36</t>
  </si>
  <si>
    <t>RV00021000067010053</t>
  </si>
  <si>
    <t>ผศ.ดร.จิดาภา พรยิ่ง</t>
  </si>
  <si>
    <t>กองทุนและส่งเสริม
ความเสมอภาคคนพิการ</t>
  </si>
  <si>
    <t>16/01/2567</t>
  </si>
  <si>
    <t>PR2-2567:13/9</t>
  </si>
  <si>
    <t>RV00021000067010194</t>
  </si>
  <si>
    <t>31/01/2567</t>
  </si>
  <si>
    <t>RV00021000067010392</t>
  </si>
  <si>
    <t>10/01/2567</t>
  </si>
  <si>
    <t>PR2-2567:13/8</t>
  </si>
  <si>
    <t>RV00021000067010196</t>
  </si>
  <si>
    <t>PR2-2567:12/43</t>
  </si>
  <si>
    <t>RV00021000067010138</t>
  </si>
  <si>
    <t>PR2-2567:12/42</t>
  </si>
  <si>
    <t>RV00021000067010139</t>
  </si>
  <si>
    <t>PR2-2567:13/7</t>
  </si>
  <si>
    <t>RV00021000067010195</t>
  </si>
  <si>
    <t>PR2-2567:1/41</t>
  </si>
  <si>
    <t>17/01/2567</t>
  </si>
  <si>
    <t>PL2-2567:3/4</t>
  </si>
  <si>
    <t>RV00021000067010212</t>
  </si>
  <si>
    <t>สถาบันวิจัยและนวัตกรรม</t>
  </si>
  <si>
    <t>อุทยานวิทยาศาสตร์และนวัตกรรมสังคม</t>
  </si>
  <si>
    <t>27/02/2567</t>
  </si>
  <si>
    <t>PR2-2567:17/41</t>
  </si>
  <si>
    <t>RV00021000067020259</t>
  </si>
  <si>
    <t>13/02/2567</t>
  </si>
  <si>
    <t>PR2-2567:17/1</t>
  </si>
  <si>
    <t>RV00021000067020139</t>
  </si>
  <si>
    <t>28/02/2567</t>
  </si>
  <si>
    <t>PR2-2567:17/49</t>
  </si>
  <si>
    <t>RV00021000067020274</t>
  </si>
  <si>
    <t xml:space="preserve">บริษัท DSM SINGAPORE INDSTRIAL PTE. LTD. </t>
  </si>
  <si>
    <t>16/02/2567</t>
  </si>
  <si>
    <t>PR2-2567:17/20</t>
  </si>
  <si>
    <t>RV00021000067020171</t>
  </si>
  <si>
    <t>PR2-2567:17/2</t>
  </si>
  <si>
    <t>RV00021000067020138</t>
  </si>
  <si>
    <t>01/02/2567</t>
  </si>
  <si>
    <t>PR2-2567:15/6</t>
  </si>
  <si>
    <t>RV00021000067020006</t>
  </si>
  <si>
    <t>PR2-2567:15/7 และ PR2-2567:15/8</t>
  </si>
  <si>
    <t>RV00021000067020007</t>
  </si>
  <si>
    <t>PR2-2567:17/19</t>
  </si>
  <si>
    <t>RV00021000067020166</t>
  </si>
  <si>
    <t>ผศ.ดร.นุกูล อินทระสังขา</t>
  </si>
  <si>
    <t>หักใน
งวดที่ 3</t>
  </si>
  <si>
    <t>28/03/2567</t>
  </si>
  <si>
    <t>PR2-2567:21/30</t>
  </si>
  <si>
    <t>RV00021000067030268</t>
  </si>
  <si>
    <t>ผศ.เอกราช สุวรรณรัตน์</t>
  </si>
  <si>
    <t>21/03/2567</t>
  </si>
  <si>
    <t>PR2-2567:20/39</t>
  </si>
  <si>
    <t>RV00021000067030186</t>
  </si>
  <si>
    <t>สำนักงานปลัดกระทรวง
การอุดมศึกษา 
วิทยาศาสตร์ วิจัยและนวัตกรรม</t>
  </si>
  <si>
    <t>PR2-2567:21/27</t>
  </si>
  <si>
    <t>RV00021000067030269</t>
  </si>
  <si>
    <t>อาจารย์ ดร.วราภรณ์ ทะนงศักดิ์</t>
  </si>
  <si>
    <t>29/03/2567</t>
  </si>
  <si>
    <t>PR2-2567:21/39</t>
  </si>
  <si>
    <t>RV00021000067030285</t>
  </si>
  <si>
    <t>13/03/2567</t>
  </si>
  <si>
    <t>RV00021000067030107</t>
  </si>
  <si>
    <t>PR2-2567:21/28</t>
  </si>
  <si>
    <t>RV00021000067030270</t>
  </si>
  <si>
    <t>รศ.ดร.พฤทฐิภร ศุภพล</t>
  </si>
  <si>
    <t>15/03/2567</t>
  </si>
  <si>
    <t>PR2-2567:19/44</t>
  </si>
  <si>
    <t>RV00021000067030137</t>
  </si>
  <si>
    <t>ผศ.ดร.สิงหา ประสิทธิ์พงศ์</t>
  </si>
  <si>
    <t>ศูนย์ภูมิภาคว่าด้วยสเต็ม
ศึกษาขององค์การรัฐมนตรี
ศึกษาแห่งเอชียตะวันออก
เฉียงใต้</t>
  </si>
  <si>
    <t>RV00021000067030284</t>
  </si>
  <si>
    <t>นำส่งงวดสุดท้าย</t>
  </si>
  <si>
    <r>
      <rPr>
        <b/>
        <u/>
        <sz val="12"/>
        <color indexed="8"/>
        <rFont val="Angsana New"/>
        <family val="1"/>
      </rPr>
      <t>ยกเว้น</t>
    </r>
    <r>
      <rPr>
        <b/>
        <sz val="12"/>
        <color indexed="8"/>
        <rFont val="Angsana New"/>
        <family val="1"/>
      </rPr>
      <t xml:space="preserve">
ค่าธรรมเนียม
การวิจัย</t>
    </r>
  </si>
  <si>
    <t>25/04/2567</t>
  </si>
  <si>
    <t>PR2-2567:26/45</t>
  </si>
  <si>
    <t>RV00021000067040209</t>
  </si>
  <si>
    <t>ผู้ช่วยศาสตราจารย์ อนงค์ ภิบาล</t>
  </si>
  <si>
    <t>03/04/2567</t>
  </si>
  <si>
    <t>PR2-2567:22/16</t>
  </si>
  <si>
    <t>RV00021000067040030</t>
  </si>
  <si>
    <t>10/04/2567</t>
  </si>
  <si>
    <t>PR2-2567:22/38</t>
  </si>
  <si>
    <t>RV00021000067040142</t>
  </si>
  <si>
    <t>ผศ.ดร.ธนภัทร เต็มรัตนะกุล</t>
  </si>
  <si>
    <t>PR2-2567:26/42</t>
  </si>
  <si>
    <t>RV00021000067040206</t>
  </si>
  <si>
    <t>PR2-2567:26/41 (ยกเลิก) และ
ออกใหม่แทน PR2-2567:29/48</t>
  </si>
  <si>
    <t>RV00021000067040205</t>
  </si>
  <si>
    <t>รศ.ดร.แจ่มจันทร์ เพชรศิริ</t>
  </si>
  <si>
    <t>PR2-2567:26/43</t>
  </si>
  <si>
    <t>RV00021000067040207</t>
  </si>
  <si>
    <t>PR2-2567:26/44</t>
  </si>
  <si>
    <t>RV00021000067040208</t>
  </si>
  <si>
    <t>อาจารย์ ดร.วันกุศล ชนะสิทธิ์</t>
  </si>
  <si>
    <t>26/04/2567</t>
  </si>
  <si>
    <t>PR2-2567:27/25</t>
  </si>
  <si>
    <t>RV00021000067040228</t>
  </si>
  <si>
    <t>อาจารย์ ดร.สุนทรี วรรณไพเราะ</t>
  </si>
  <si>
    <t>05/04/2567</t>
  </si>
  <si>
    <t>PL2-2567:4/19</t>
  </si>
  <si>
    <t>RV00021000067040077</t>
  </si>
  <si>
    <t>11/04/2567</t>
  </si>
  <si>
    <t>PL2-2567:4/21</t>
  </si>
  <si>
    <t>RV00021000067040143</t>
  </si>
  <si>
    <t>PR2-2567:29/43</t>
  </si>
  <si>
    <t>RV00021000067050046</t>
  </si>
  <si>
    <t>PR2-2567:29/42</t>
  </si>
  <si>
    <t>RV00021000067050047</t>
  </si>
  <si>
    <t>PR2-2567:31/16</t>
  </si>
  <si>
    <t>RV00021000067050087</t>
  </si>
  <si>
    <t>PR2-2567:31/49</t>
  </si>
  <si>
    <t>RV00021000067050143</t>
  </si>
  <si>
    <t>PR2-2567:32/5</t>
  </si>
  <si>
    <t>RV00021000067050223</t>
  </si>
  <si>
    <t xml:space="preserve">ผศ.ดร.สุภฎา คีรีรัฐนิคม </t>
  </si>
  <si>
    <t>บริษัท บีเอเอสเอฟ (ไทย) จำกัด</t>
  </si>
  <si>
    <t>PR2-2567:31/15</t>
  </si>
  <si>
    <t>RV00021000067050086</t>
  </si>
  <si>
    <t>มหาวิทยาลัย
สงขลานครินทร์ 
(เครือข่ายอุดมศึกษา
ภาคใต้ตอนล่าง)</t>
  </si>
  <si>
    <t>PR2-2567:31/18</t>
  </si>
  <si>
    <t>RV00021000067050089</t>
  </si>
  <si>
    <t>PR2-2567:31/17</t>
  </si>
  <si>
    <t>RV00021000067050088</t>
  </si>
  <si>
    <t>PL2-2567:4/48</t>
  </si>
  <si>
    <t>RV00021000067050364</t>
  </si>
  <si>
    <t>ดำเนินการภายใต้สถาบันวิจัยและนวัตกรรม</t>
  </si>
  <si>
    <t>PR2-2567:14/46
 และ 
PR2-2567:14/47</t>
  </si>
  <si>
    <t>PR2-2567:34/44</t>
  </si>
  <si>
    <t>RV00021000067060031</t>
  </si>
  <si>
    <t>PR2-2567:36/26</t>
  </si>
  <si>
    <t>RV00021000067060273</t>
  </si>
  <si>
    <t>นางสาวอุษณา โกเอี้ยน 
นักศึกษาระดับปริญญาโท โดยมี ผู้ช่วยศาสตราจารย์ ตั้ม บุญรอด 
เป็นอาจารย์ที่ปรึกษา</t>
  </si>
  <si>
    <t>PR2-2567:34/3</t>
  </si>
  <si>
    <t>RV00021000067060005</t>
  </si>
  <si>
    <t>PR2-2567:34/5</t>
  </si>
  <si>
    <t>RV00021000067060007</t>
  </si>
  <si>
    <t>ผศ.ดร.มณฑล เลิศวรปรีชา</t>
  </si>
  <si>
    <t>บริษัท เค.เอ็ม.พี.ไบโอเทค 
จำกัด</t>
  </si>
  <si>
    <t>PR2-2567:36/25</t>
  </si>
  <si>
    <t>RV00021000067060216</t>
  </si>
  <si>
    <t>PR2-2567:36/28</t>
  </si>
  <si>
    <t>RV00021000067060219</t>
  </si>
  <si>
    <t>PR2-2567:34/4</t>
  </si>
  <si>
    <t>RV00021000067060006</t>
  </si>
  <si>
    <t>PR2-2567:36/27</t>
  </si>
  <si>
    <t>RV00021000067060218</t>
  </si>
  <si>
    <t>อาจารย์ อรศิริ ลีลายุทธชัย</t>
  </si>
  <si>
    <t>PR2-2567:34/8</t>
  </si>
  <si>
    <t>RV00021000067060008</t>
  </si>
  <si>
    <t>PR2-2567:34/7</t>
  </si>
  <si>
    <t>RV00021000067060009</t>
  </si>
  <si>
    <t>01/07/2567</t>
  </si>
  <si>
    <t>PR2-2567:37/41</t>
  </si>
  <si>
    <t>RV00021000067070013</t>
  </si>
  <si>
    <t>18/07/2567</t>
  </si>
  <si>
    <t>PR2-2567:40/5</t>
  </si>
  <si>
    <t>RV00021000067070320</t>
  </si>
  <si>
    <t>15/07/2567</t>
  </si>
  <si>
    <t>PR2-2567:39/26</t>
  </si>
  <si>
    <t>RV00021000067070247</t>
  </si>
  <si>
    <t>08/07/2567</t>
  </si>
  <si>
    <t>PR2-2567:38/27</t>
  </si>
  <si>
    <t>RV00021000067070153</t>
  </si>
  <si>
    <t>30/07/2567</t>
  </si>
  <si>
    <t>PR2-2567:40/47</t>
  </si>
  <si>
    <t>RV00021000067070435</t>
  </si>
  <si>
    <r>
      <t xml:space="preserve">ตามสัญญที่ N24B650299 สัญญารับทุน
อุดหนุนการทำกิจกรรมส่งเสริมและสนับสนุน
การวิจัยและนวัตกรรม เรื่อง การพัฒนาระบบ
การผลิตไก่คอล่อนสำหรับเกษตรกรใน
อำเภอควนขนุน จังหวัดพัทลุง งวดที่ 4
</t>
    </r>
    <r>
      <rPr>
        <b/>
        <sz val="13"/>
        <color rgb="FFFF0000"/>
        <rFont val="Angsana New"/>
        <family val="1"/>
      </rPr>
      <t xml:space="preserve">วงเงินทั้งสิ้น 400,000 บาท </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</si>
  <si>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theme="1"/>
        <rFont val="Angsana New"/>
        <family val="1"/>
      </rPr>
      <t>โครงการย่อยที่ 3</t>
    </r>
    <r>
      <rPr>
        <sz val="13"/>
        <color theme="1"/>
        <rFont val="Angsana New"/>
        <family val="1"/>
      </rPr>
      <t xml:space="preserve"> แพะหวะแก้จน 
จังหวัดพัทลุงโมเดล งวดที่ 2
</t>
    </r>
    <r>
      <rPr>
        <b/>
        <sz val="13"/>
        <color rgb="FFFF0000"/>
        <rFont val="Angsana New"/>
        <family val="1"/>
      </rPr>
      <t>วงเงินงบประมาณย่อย 2,700,000 บาท</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</si>
  <si>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theme="1"/>
        <rFont val="Angsana New"/>
        <family val="1"/>
      </rPr>
      <t>โครงการย่อยที่ 4</t>
    </r>
    <r>
      <rPr>
        <sz val="13"/>
        <color theme="1"/>
        <rFont val="Angsana New"/>
        <family val="1"/>
      </rPr>
      <t xml:space="preserve"> วิชชายุทธเกษตรสู้จน 
คนศรีนครินทร์ งวดที่ 2 
</t>
    </r>
    <r>
      <rPr>
        <b/>
        <sz val="13"/>
        <color rgb="FFFF0000"/>
        <rFont val="Angsana New"/>
        <family val="1"/>
      </rPr>
      <t>วงเงินงบประมาณย่อย 1,100,000 บาท</t>
    </r>
  </si>
  <si>
    <t>06/08/2567</t>
  </si>
  <si>
    <t>PR2-2567:41/32</t>
  </si>
  <si>
    <t>RV00021000067080065</t>
  </si>
  <si>
    <t>กลุ่มวิสาหกิจชุมชน
ชาวนาพัทลุง</t>
  </si>
  <si>
    <r>
      <t xml:space="preserve">ตามข้อตกการสนับสนุนทุนจากงบประมาณ
เงินรายได้ กองทุนวิจัยมหาวิทยาลัยทักษิณ 
ประจำปีงบประมาณ 2567 เลขที่ 
TSU67-ECO002 ตามสัญญาระบุการร่วม
ทุนวิจัย ภายใต้โครงการวิจัย เรื่อง การกระตุ้นการงอกของเมล็ดพันธุ์ข้าวอินทรีย์ด้วยโอโซน
ในกระบวนการผลิตข้าวกล้องงอก 
</t>
    </r>
    <r>
      <rPr>
        <b/>
        <sz val="13"/>
        <color rgb="FFFF0000"/>
        <rFont val="Angsana New"/>
        <family val="1"/>
      </rPr>
      <t>งบประมาณทั้งสิ้น 90,000 บาท 
สนับสนุนโดยผู้ร่วมทุน 9,000 บาท</t>
    </r>
  </si>
  <si>
    <t>PR2-2567:41/34</t>
  </si>
  <si>
    <t>RV00021000067080067</t>
  </si>
  <si>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t>
    </r>
    <r>
      <rPr>
        <b/>
        <u/>
        <sz val="13"/>
        <color theme="1"/>
        <rFont val="Angsana New"/>
        <family val="1"/>
      </rPr>
      <t>โครงการย่อยที่ 3</t>
    </r>
    <r>
      <rPr>
        <sz val="13"/>
        <color theme="1"/>
        <rFont val="Angsana New"/>
        <family val="1"/>
      </rPr>
      <t xml:space="preserve"> การเลี้ยงแพะหวะแก้จน 
จังหวัดพัทลุง งวดที่ 3
</t>
    </r>
    <r>
      <rPr>
        <b/>
        <sz val="13"/>
        <color rgb="FFFF0000"/>
        <rFont val="Angsana New"/>
        <family val="1"/>
      </rPr>
      <t xml:space="preserve">งบประมาณทั้งสิ้น 1,530,000 บาท </t>
    </r>
  </si>
  <si>
    <r>
      <t xml:space="preserve">ตามสัญญาเลขที่ N73A670993 สัญญา
ให้ทุนอุดหนุนการวิจัยและนวัตกรรม ภายใต้
งานวิจัยเรื่อง การบริหารจัดการและการ
พัฒนาผลิตภัณฑ์ชุมชน อำเภอนาหม่อม 
จังหวัดสงขลา งวดที่ 1
</t>
    </r>
    <r>
      <rPr>
        <b/>
        <sz val="13"/>
        <color rgb="FFFF0000"/>
        <rFont val="Angsana New"/>
        <family val="1"/>
      </rPr>
      <t>วงเงินงบประมาณทั่งสิ้น 400,000 บาท</t>
    </r>
  </si>
  <si>
    <r>
      <t xml:space="preserve">ตามสัญญาเลขที่ A11F660039 สัญญาให้ทุนโครงการ การพัฒนาชุมชนนวัตกรรมแบบ
มีส่วนร่วมเพื่อยกระดับผลิตภัณฑ์ปลาดุกร้า
ในพื้นที่รอบลุ่มทะเลสาบสงขลาอย่างยั่งยืน </t>
    </r>
    <r>
      <rPr>
        <b/>
        <u/>
        <sz val="13"/>
        <color theme="1"/>
        <rFont val="Angsana New"/>
        <family val="1"/>
      </rPr>
      <t>โครงการวิจัยย่อยที่ 3</t>
    </r>
    <r>
      <rPr>
        <sz val="13"/>
        <color theme="1"/>
        <rFont val="Angsana New"/>
        <family val="1"/>
      </rPr>
      <t xml:space="preserve"> การพัฒนาช่องทางการตลาดผลิตภัณฑ์ปลาดุกร้าในพื้นที่รอบ
ลุ่มน้ำทะเลสาบสงขลา งวดที่ 2
</t>
    </r>
    <r>
      <rPr>
        <b/>
        <sz val="13"/>
        <color rgb="FFFF0000"/>
        <rFont val="Angsana New"/>
        <family val="1"/>
      </rPr>
      <t xml:space="preserve">วงเงินงบประมาณย่อย 466,950 บาท </t>
    </r>
  </si>
  <si>
    <r>
      <t xml:space="preserve">ตามสัญญารับทุนอุดหนุนการวิจัยและ
นวัตกรรม เรื่อง การพัฒนาศักยภาพการประกอบการของวิสาหกิจชุมชนกลุ่มอาชีพ
ทอผ้าบ้านล่องมุด จังหวัดสงขลา งวดที่ 2
</t>
    </r>
    <r>
      <rPr>
        <b/>
        <sz val="13"/>
        <color rgb="FFFF0000"/>
        <rFont val="Angsana New"/>
        <family val="1"/>
      </rPr>
      <t xml:space="preserve">งบประมาณทั้งสิ้น 400,000 บาท </t>
    </r>
  </si>
  <si>
    <r>
      <t xml:space="preserve">ตามสัญญารับทุนอุดหนุนการวิจัยและ
นวัตกรรม เรื่อง การพัฒนาศักยภาพการประกอบการของวิสาหกิจชุมชนกลุ่มอาชีพ
ทอผ้าบ้านล่องมุด จังหวัดสงขลา งวดที่ 3
</t>
    </r>
    <r>
      <rPr>
        <b/>
        <sz val="13"/>
        <color rgb="FFFF0000"/>
        <rFont val="Angsana New"/>
        <family val="1"/>
      </rPr>
      <t xml:space="preserve">งบประมาณทั้งสิ้น 400,000 บาท </t>
    </r>
  </si>
  <si>
    <r>
      <t xml:space="preserve">ตามสัญญารับทุนอุดหนุนการวิจัยและ
นวัตกรรม เรื่อง การพัฒนาศักยภาพการประกอบการของวิสาหกิจชุมชนกลุ่มอาชีพ
ทอผ้าบ้านล่องมุด จังหวัดสงขลา งวดที่ 4
</t>
    </r>
    <r>
      <rPr>
        <b/>
        <sz val="13"/>
        <color rgb="FFFF0000"/>
        <rFont val="Angsana New"/>
        <family val="1"/>
      </rPr>
      <t xml:space="preserve">งบประมาณทั้งสิ้น 400,000 บาท </t>
    </r>
  </si>
  <si>
    <r>
      <t xml:space="preserve">ตามสัญญาเลขที่ 148/2566 ว่าจ้างปรึกษาโครงการประเมินความเชื่อมั่นของประชาชน
ในพื้นที่จังหวัดชายแดนภาคใต้ที่มีต่อการ
อำนวยความยุติธรรมของกระทรวงยุติธรรม 
และแผนงานอำนวยความยุติธรรมและเยียวยา
ผู้ได้รับผลกระทบ ประจำปีงบประมาณ 
พ.ศ.2566 งวดที่ 2 
</t>
    </r>
    <r>
      <rPr>
        <b/>
        <sz val="13"/>
        <color rgb="FFFF0000"/>
        <rFont val="Angsana New"/>
        <family val="1"/>
      </rPr>
      <t xml:space="preserve">งบประมาณทั้งสิ้น 1,290,000 บาท </t>
    </r>
  </si>
  <si>
    <r>
      <t xml:space="preserve">เงินค่าธรรมเนียมอุดหนุนสถาบัน ตามระเบียบคณะกรรมการการเงินและทรัพย์สิน ว่าด้วย
การบริหารจัดการทุนอุดหนุนการวิจัยจาก
แหล่งทุนภายนอก พ.ศ.2565 สำหรับทุนวิจัย
เรื่อง ถอดบทเรียนแนวทางการแก้ไขปัญหา
เรื่องที่อยู่อาศัยและพื้นที่ทำกินของชาว
เลอูรักลาโว้ยเพื่อลดปัญหาความเหลื่อมล้ำ
ในการดำเนินชีวิตของชาวเล พื้นที่ปฏิบัติการชุมชนบ้านโต๊ะบาหลิว อำเภอเกาลันตาใหญ่ จังหวัดกระบี่ (ตามสัญญาข้อตกลงเลขที่ 65-00-1357-01 เริ่มตั้งแต่วันที่ 15 พ.ย. 65
ถึง 31 ก.ค. 66) 
</t>
    </r>
    <r>
      <rPr>
        <b/>
        <sz val="13"/>
        <color rgb="FFFF0000"/>
        <rFont val="Angsana New"/>
        <family val="1"/>
      </rPr>
      <t>งบประมาณทั้งสิ้น 174,645 บาท</t>
    </r>
    <r>
      <rPr>
        <sz val="13"/>
        <color theme="1"/>
        <rFont val="Angsana New"/>
        <family val="1"/>
      </rPr>
      <t xml:space="preserve"> </t>
    </r>
  </si>
  <si>
    <r>
      <t xml:space="preserve">ตามสัญญารับเงินสนับสนุนแผนงานหรือ
โครงการเลขที่ 1/2567 ภายใต้โครงการวิจัย 
เรื่อง แนวทางการพัฒนาการมีส่วนร่วมของ
คนพิการในการตรากฎหมาย ภายใต้มาตรา 
77 รัฐธรรมนูญแห่งราชอาณาจักรไทย
พุทธศักราช 2560 งวดที่ 1
</t>
    </r>
    <r>
      <rPr>
        <b/>
        <sz val="13"/>
        <color rgb="FFFF0000"/>
        <rFont val="Angsana New"/>
        <family val="1"/>
      </rPr>
      <t>วงเงินตามสัญญา 508,725 บาท</t>
    </r>
  </si>
  <si>
    <r>
      <t xml:space="preserve">ตามสัญญาเลขที่ 148/2566 ว่าจ้างปรึกษาโครงการประเมินความเชื่อมั่นของประชาชน
ในพื้นที่จังหวัดชายแดนภาคใต้ที่มีต่อการ
อำนวยความยุติธรรมของกระทรวงยุติธรรม 
และแผนงานอำนวยความยุติธรรมและเยียวยา
ผู้ได้รับผลกระทบ ประจำปีงบประมาณ 
พ.ศ.2566 งวดที่ 3 
</t>
    </r>
    <r>
      <rPr>
        <b/>
        <sz val="13"/>
        <color rgb="FFFF0000"/>
        <rFont val="Angsana New"/>
        <family val="1"/>
      </rPr>
      <t xml:space="preserve">งบประมาณทั้งสิ้น 1,290,000 บาท </t>
    </r>
  </si>
  <si>
    <r>
      <t xml:space="preserve">ตามสัญญาเลขที่ 148/2566 ว่าจ้างปรึกษาโครงการประเมินความเชื่อมั่นของประชาชน
ในพื้นที่จังหวัดชายแดนภาคใต้ที่มีต่อการ
อำนวยความยุติธรรมของกระทรวงยุติธรรม 
และแผนงานอำนวยความยุติธรรมและเยียวยา
ผู้ได้รับผลกระทบ ประจำปีงบประมาณ 
พ.ศ.2566 งวดที่ 4 และเงินประกันผลงาน
งวดที่ 1 - 4 
</t>
    </r>
    <r>
      <rPr>
        <b/>
        <sz val="13"/>
        <color rgb="FFFF0000"/>
        <rFont val="Angsana New"/>
        <family val="1"/>
      </rPr>
      <t xml:space="preserve">งบประมาณทั้งสิ้น 1,290,000 บาท </t>
    </r>
  </si>
  <si>
    <r>
      <t xml:space="preserve">ตามสัญญาเลขที่ N71A670035 สัญญา
ให้ทุนอุดหนุนการวิจัยและนวัตกรรม ภายใต้
งานวิจัยเรื่อง กระบวนการจัดทำต้นแบบ
ธรรมนูญชุมชนเพื่อการอนุรักษ์ทรัพยากร
ของลุ่มน้ำทะเลสาบสงขลาแบบมีส่วนร่วม
ของชุมชนลุ่มน้ำทะเลสาบสงขลาอย่างมั่นคงและยั่งยืน งวดที่ 1
</t>
    </r>
    <r>
      <rPr>
        <b/>
        <sz val="13"/>
        <color rgb="FFFF0000"/>
        <rFont val="Angsana New"/>
        <family val="1"/>
      </rPr>
      <t>วงเงินงบประมาณทั่งสิ้น 500,000 บาท</t>
    </r>
    <r>
      <rPr>
        <sz val="13"/>
        <color theme="1"/>
        <rFont val="Angsana New"/>
        <family val="1"/>
      </rPr>
      <t xml:space="preserve"> </t>
    </r>
  </si>
  <si>
    <r>
      <t xml:space="preserve">ตามสัญญารับเงินสนับสนุนแผนงานหรือ
โครงการเลขที่ 1/2567 ภายใต้โครงการวิจัย 
เรื่อง แนวทางการพัฒนาการมีส่วนร่วมของ
คนพิการในการตรากฎหมาย ภายใต้มาตรา 
77 รัฐธรรมนูญแห่งราชอาณาจักรไทย
พุทธศักราช 2560 งวดที่ 2
</t>
    </r>
    <r>
      <rPr>
        <b/>
        <sz val="13"/>
        <color rgb="FFFF0000"/>
        <rFont val="Angsana New"/>
        <family val="1"/>
      </rPr>
      <t>วงเงินตามสัญญา 508,725 บาท</t>
    </r>
  </si>
  <si>
    <r>
      <t xml:space="preserve">ตามสัญญารับทุนอุดหนุนการวิจัยและ
นวัตกรรม เรื่อง การจัดการความรู้และการ
ถ่ายทอดเทคโนโลยีแอปพลิเคชันการป้องกัน
ภาวะซึมเศร้าของผู้สูงอายุโดยใช้หลักมิติจิต
วิญญาณตามวิถีมุสลิมสำหรับอาสาสมัคร
สาธารณสุขประจำหมู่บ้าน ในบริบทสาม
จังหวัดชายแดนใต้ เพื่อความั่นคงของมนุษย์
อย่างยั่งยื่น งวดที่ 2
</t>
    </r>
    <r>
      <rPr>
        <b/>
        <sz val="13"/>
        <color rgb="FFFF0000"/>
        <rFont val="Angsana New"/>
        <family val="1"/>
      </rPr>
      <t xml:space="preserve">งบประมาณทั้งสิ้น 600,000 บาท </t>
    </r>
  </si>
  <si>
    <r>
      <t xml:space="preserve">ตามสัญญาเลขที่ N71A670028 สัญญาให้
ทุนอุดหนุนการวิจัยและนวัตกรรม ภายใต้
งานวิจัยเรื่อง การจัดการความรู้และการ
ถ่ายทอดเทคโนโลยีแอปพลิเคชันการส่งเสริม
สุขภาพมารดาทารกในวิถีมุสลิมในสาม
จังหวัดชายแดนใต้เพื่อสร้างความเข้มแข็ง
ของชุมชน งวดที่ 1
</t>
    </r>
    <r>
      <rPr>
        <b/>
        <sz val="13"/>
        <color rgb="FFFF0000"/>
        <rFont val="Angsana New"/>
        <family val="1"/>
      </rPr>
      <t xml:space="preserve">งบประมาณทั้งสิ้น 500,000 บาท </t>
    </r>
  </si>
  <si>
    <r>
      <t xml:space="preserve">ตามสัญญารับทุนอุดหนุนการวิจัยและ
นวัตกรรม เรื่อง การจัดการความรู้และการ
ถ่ายทอดเทคโนโลยีแอปพลิเคชันการป้องกัน
ภาวะซึมเศร้าของผู้สูงอายุโดยใช้หลักมิติจิต
วิญญาณตามวิถีมุสลิมสำหรับอาสาสมัคร
สาธารณสุขประจำหมู่บ้าน ในบริบทสาม
จังหวัดชายแดนใต้ เพื่อความั่นคงของมนุษย์
อย่างยั่งยื่น งวดที่ 3
</t>
    </r>
    <r>
      <rPr>
        <b/>
        <sz val="13"/>
        <color rgb="FFFF0000"/>
        <rFont val="Angsana New"/>
        <family val="1"/>
      </rPr>
      <t xml:space="preserve">งบประมาณทั้งสิ้น 600,000 บาท </t>
    </r>
  </si>
  <si>
    <r>
      <t xml:space="preserve">ตามสัญญาจ้างผู้เชี่ยวชาญรายบุคคลหรือ
จ้างที่บริษัทที่ปรึกษา เลขที่ กจ004/2567
ได้ว่าจ้างที่ปรึกษาปฏิบัติงานตามโครงการ
สำรวจความพึงพอใจของผู้รับบริการที่มีต่อ
การให้บริการสาธารณะขององค์การบริหาร
ส่วนจังหวัดภูเก็ต ประจำปีงบประมาณ 
พ.ศ.2567 งวดที่ 1
</t>
    </r>
    <r>
      <rPr>
        <b/>
        <sz val="13"/>
        <color rgb="FFFF0000"/>
        <rFont val="Angsana New"/>
        <family val="1"/>
      </rPr>
      <t>วงเงินตามสัญญา 100,000 บาท</t>
    </r>
  </si>
  <si>
    <r>
      <t xml:space="preserve">ตามสัญญาเลขที่ N71B650089 ระยะเวลา 
12 เดือน โดยเริ่มตั้งแต่วันที่ 31 ม.ค.65 ถึง
30 ม.ค.66 สำหรับเงินค่าธรรมเนียมอุดหนุน
สถาบันของทุนสนับสนุนจาก เรื่อง การพัฒนา
ทักษะอาชีพการทอผ้าพื่นเมืองสำหรับกลุ่ม
สามเณรไร้ที่พึ่งพิง โรงเรียนพระปริยัติธรรม 
วัดโคกเปี้ยว ตำบลเกาะยอ อำเภอเมือง 
จังหวัดสงขลา 
</t>
    </r>
    <r>
      <rPr>
        <b/>
        <sz val="13"/>
        <color rgb="FFFF0000"/>
        <rFont val="Angsana New"/>
        <family val="1"/>
      </rPr>
      <t xml:space="preserve">งบประมาณทั้งสิ้น 550,000 บาท </t>
    </r>
  </si>
  <si>
    <r>
      <t xml:space="preserve">ตามสัญญารับทุนอุดหนุนการวิจัยและ
นวัตกรรม เรื่อง การพัฒนารูปแบบการให้
ความช่วยเหลือเยียวยาฯ ไปสู่การพัฒนา
แบบเบ็ดเสร็จครบวงจร งวดที่ 2
</t>
    </r>
    <r>
      <rPr>
        <b/>
        <sz val="13"/>
        <color rgb="FFFF0000"/>
        <rFont val="Angsana New"/>
        <family val="1"/>
      </rPr>
      <t xml:space="preserve">งบประมาณทั้งสิ้น 800,000 บาท </t>
    </r>
  </si>
  <si>
    <r>
      <t xml:space="preserve">ตามใบสั่งจ้างเลขที่ 443/2566 ได้จ้าง
สถาบันการศึกษา ระดับอุดมศึกษา สำรวจ
ความพึงพอใจของผู้รับบริการสาธารณะของ
องค์การบริหารส่วนจังหวัดสงขลา ประจำปี 
พ.ศ.2566 (กำหนดส่งมอบงานภายในวันที่ 
11 ตุลาคม 2566) 
</t>
    </r>
    <r>
      <rPr>
        <b/>
        <sz val="13"/>
        <color rgb="FFFF0000"/>
        <rFont val="Angsana New"/>
        <family val="1"/>
      </rPr>
      <t>วงเงินทั้งสิ้น 49,000 บาท</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</si>
  <si>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rFont val="Angsana New"/>
        <family val="1"/>
      </rPr>
      <t>โครงการย่อยที่ 1</t>
    </r>
    <r>
      <rPr>
        <sz val="13"/>
        <color theme="1"/>
        <rFont val="Angsana New"/>
        <family val="1"/>
      </rPr>
      <t xml:space="preserve"> กระจูดพัทลุงโมเดล การยกระดับศักยภาพผลิตภัณฑ์กระจูดตลอดโซ่อุปทานของวิสาหกิจชุมชนเลน้อยคราฟ ขับเคลื่อนโดย BCG งวดที่ 2
</t>
    </r>
    <r>
      <rPr>
        <b/>
        <sz val="13"/>
        <color rgb="FFFF0000"/>
        <rFont val="Angsana New"/>
        <family val="1"/>
      </rPr>
      <t>วงเงินงบประมาณย่อย 2,700,000 บาท</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</si>
  <si>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theme="1"/>
        <rFont val="Angsana New"/>
        <family val="1"/>
      </rPr>
      <t>โครงการย่อยที่ 5</t>
    </r>
    <r>
      <rPr>
        <sz val="13"/>
        <color theme="1"/>
        <rFont val="Angsana New"/>
        <family val="1"/>
      </rPr>
      <t xml:space="preserve"> บางแก้วโมเดล ประมง
พื้นบ้านแก้จน งวดที่ 2 
</t>
    </r>
    <r>
      <rPr>
        <b/>
        <sz val="13"/>
        <color rgb="FFFF0000"/>
        <rFont val="Angsana New"/>
        <family val="1"/>
      </rPr>
      <t>วงเงินงบประมาณย่อย 1,100,000 บาท</t>
    </r>
  </si>
  <si>
    <r>
      <t xml:space="preserve">ตามสัญญารับทุนอุดหนุนการวิจัยและ
นวัตกรรม เรื่อง การจัดการความรู้เพื่อลด
ความเสี่ยงและปรับตัวต่อภัยแล้งของชุมชน
เกษตรกรรม คาบสมุทรสทิงพระ 
จังหวัดสงขลา งวดที่ 3 
</t>
    </r>
    <r>
      <rPr>
        <b/>
        <sz val="13"/>
        <color rgb="FFFF0000"/>
        <rFont val="Angsana New"/>
        <family val="1"/>
      </rPr>
      <t xml:space="preserve">งบประมาณทั้งสิ้น 450,000 บาท </t>
    </r>
  </si>
  <si>
    <r>
      <t xml:space="preserve">ตามสัญญารับทุนอุดหนุนการวิจัยและ
นวัตกรรม เรื่อง การพัฒนารูปแบบการให้
ความช่วยเหลือเยียวยาฯ ไปสู่การพัฒนา
แบบเบ็ดเสร็จครบวงจร งวดที่ 3
</t>
    </r>
    <r>
      <rPr>
        <b/>
        <sz val="13"/>
        <color rgb="FFFF0000"/>
        <rFont val="Angsana New"/>
        <family val="1"/>
      </rPr>
      <t xml:space="preserve">งบประมาณทั้งสิ้น 800,000 บาท </t>
    </r>
  </si>
  <si>
    <r>
      <t xml:space="preserve">ตามบันทึกข้อตกลงความร่วมมือ ภายใต้
โครงการใช้เทคโนโลยีและนวัตกรรมเพื่อ
การบริหารจัดการฟาร์มและสร้างความเป็น
อัตลักษณ์ให้กับผลิตภัณฑ์ปศุสัตว์ภาคใต้
ชายแดน ปีงบประมาณ พ.ศ.2567 งวดที่ 1
</t>
    </r>
    <r>
      <rPr>
        <b/>
        <sz val="13"/>
        <color rgb="FFFF0000"/>
        <rFont val="Angsana New"/>
        <family val="1"/>
      </rPr>
      <t>งบประมาณทั้งสิ้น 940,000.00 บาท</t>
    </r>
  </si>
  <si>
    <r>
      <t xml:space="preserve">ตามสัญญาเลขที่ N71A670027 สัญญา
ให้ทุนอุดหนุนการวิจัยและนวัตกรรม ภายใต้
งานวิจัยเรื่อง การจัดการความรู้และ
การถ่ายทอดการใช้แอปพลิเคชันติดตามและ
ช่วยเหลือผู้สูงอายุในสถานการณ์อุทกภัย 
งวดที่ 1
</t>
    </r>
    <r>
      <rPr>
        <b/>
        <sz val="13"/>
        <color rgb="FFFF0000"/>
        <rFont val="Angsana New"/>
        <family val="1"/>
      </rPr>
      <t>วงเงินงบประมาณทั่งสิ้น 500,000 บาท</t>
    </r>
    <r>
      <rPr>
        <sz val="13"/>
        <color theme="1"/>
        <rFont val="Angsana New"/>
        <family val="1"/>
      </rPr>
      <t xml:space="preserve"> </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</si>
  <si>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ภายใต้แผนงาน ตัวแบบเชิง
ธุรกิจเพื่อสร้างเศรษฐกิจฐานรากรองรับการ
เปลี่ยนแปลงและวิกฤตด้านเศรษฐกิจ 
โปรแกรม 17 แก้ปัญหาวิกฤตเร่งด่วนของ
ประเทศอื่น ๆ งวดที่ 4
</t>
    </r>
    <r>
      <rPr>
        <b/>
        <sz val="13"/>
        <color rgb="FFFF0000"/>
        <rFont val="Angsana New"/>
        <family val="1"/>
      </rPr>
      <t>งบประมาณทั้งสิ้น 3,500,000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</si>
  <si>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3 แบบ
จำลองธุรกิจแบบจับคู่ค้าของผลิตภัณฑ์กาบ
หมากแบรนด์ กาหลง สำหรับผู้บริโภคกลุ่ม
ยึดมั่นความเป็นมิตรกับสิ่งแวดล้อม งวดที่ 4 </t>
    </r>
    <r>
      <rPr>
        <b/>
        <sz val="13"/>
        <color rgb="FFFF0000"/>
        <rFont val="Angsana New"/>
        <family val="1"/>
      </rPr>
      <t>งบประมาณโครงการทั้งสิ้น 1,248,300 บ.</t>
    </r>
  </si>
  <si>
    <r>
      <t xml:space="preserve">ตามสัญญารับทุนอุดหนุนการวิจัยและ
นวัตกรรม เรื่อง การจัดการความรู้เพื่อลด
ความเสี่ยงและปรับตัวต่อภัยแล้งของชุมชน
เกษตรกรรม คาบสมุทรสทิงพระ 
จังหวัดสงขลา งวดที่ 4 
</t>
    </r>
    <r>
      <rPr>
        <b/>
        <sz val="13"/>
        <color rgb="FFFF0000"/>
        <rFont val="Angsana New"/>
        <family val="1"/>
      </rPr>
      <t xml:space="preserve">งบประมาณทั้งสิ้น 450,000 บาท </t>
    </r>
  </si>
  <si>
    <r>
      <t xml:space="preserve">ตามสัญญาเลขที่ N32A670186 สัญญาให้
ทุนอุดหนุนการวิจัยและนวัตกรรม ภายใต้
งานวิจัยเรื่อง การสร้างสื่อการเรียนรู้แบบ
บูรณาการด้วยโมเดล IC3 เพื่อสงเสริมให้
เกิดการตระหนักรู้และแสดงการมีส่วนร่วม
อย่างเหมาะสมต่อการกลั่นแกล้งบนโลก
ออนไลน์ที่เกี่ยวข้องกับการแสดงความคิดเห็น
ทางการเมือง งวดที่ 1
</t>
    </r>
    <r>
      <rPr>
        <b/>
        <sz val="13"/>
        <color rgb="FFFF0000"/>
        <rFont val="Angsana New"/>
        <family val="1"/>
      </rPr>
      <t>งบประมาณทั้งสิ้น 465,000 บาท</t>
    </r>
  </si>
  <si>
    <r>
      <t xml:space="preserve">ตามสัญญาเลขที่ N71A670164 สัญญาให้
ทุนอุดหนุนการวิจัยและนวัตกรรม ภายใต้
งานวิจัยเรื่อง การขยายผลสวนพฤกษศาสตร์
โรงเรียนตามแนวพระราชดำริฯ สู่การพัฒนา
ครบวงจรเพื่อการพึ่งตนเองและเสริมสร้างสุข
ภาวะชุมชน งวดที่ 1
</t>
    </r>
    <r>
      <rPr>
        <b/>
        <sz val="13"/>
        <color rgb="FFFF0000"/>
        <rFont val="Angsana New"/>
        <family val="1"/>
      </rPr>
      <t xml:space="preserve">งบประมาณทั้งสิ้น 600,000 บาท </t>
    </r>
  </si>
  <si>
    <r>
      <t xml:space="preserve">ตามสัญญารับทุนอุดหนุนการวิจัยและ
นวัตกรรม เรื่อง การจัดการความรู้เพื่อลด
ความเสี่ยงและปรับตัวต่อภัยแล้งของชุมชน
เกษตรกรรม คาบสมุทรสทิงพระ 
จังหวัดสงขลา งวดที่ 5 
</t>
    </r>
    <r>
      <rPr>
        <b/>
        <sz val="13"/>
        <color rgb="FFFF0000"/>
        <rFont val="Angsana New"/>
        <family val="1"/>
      </rPr>
      <t xml:space="preserve">งบประมาณทั้งสิ้น 450,000 บาท </t>
    </r>
  </si>
  <si>
    <r>
      <t xml:space="preserve">ตามบันทึกข้อตกลงความร่วมมือ ภายใต้
โครงการใช้เทคโนโลยีและนวัตกรรมเพื่อ
การบริหารจัดการฟาร์มและสร้างความเป็น
อัตลักษณ์ให้กับผลิตภัณฑ์ปศุสัตว์ภาคใต้
ชายแดน ปีงบประมาณ พ.ศ.2567 งวดที่ 2
</t>
    </r>
    <r>
      <rPr>
        <b/>
        <sz val="13"/>
        <color rgb="FFFF0000"/>
        <rFont val="Angsana New"/>
        <family val="1"/>
      </rPr>
      <t>งบประมาณทั้งสิ้น 940,000.00 บาท</t>
    </r>
  </si>
  <si>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t>
    </r>
    <r>
      <rPr>
        <b/>
        <u/>
        <sz val="13"/>
        <color theme="1"/>
        <rFont val="Angsana New"/>
        <family val="1"/>
      </rPr>
      <t>โครงการย่อยที่ 2</t>
    </r>
    <r>
      <rPr>
        <sz val="13"/>
        <color theme="1"/>
        <rFont val="Angsana New"/>
        <family val="1"/>
      </rPr>
      <t xml:space="preserve"> การยกระดับรายได้คนจน
อำเภอควนขนุน จังหวัดพัทลุง ด้วยโมเดล 
อำเภอกระจูดแก้จน งวดที่ 3
</t>
    </r>
    <r>
      <rPr>
        <b/>
        <sz val="13"/>
        <color rgb="FFFF0000"/>
        <rFont val="Angsana New"/>
        <family val="1"/>
      </rPr>
      <t>งบประมาณทั้งสิ้น 1,665,364 บาท</t>
    </r>
    <r>
      <rPr>
        <sz val="13"/>
        <color theme="1"/>
        <rFont val="Angsana New"/>
        <family val="1"/>
      </rPr>
      <t xml:space="preserve"> </t>
    </r>
  </si>
  <si>
    <r>
      <t xml:space="preserve">ตามสัญญาเลขที่ N41A670800 สัญญาให้
ทุนอุดหนุนการวิจัยและนวัตกรรม ภายใต้
งานวิจัยเรื่อง สมการทำนายค่าระดับน้ำตาล
สะสมในเลือดสำหรับผู้ป่วยเบาหวานที่
ควบคุมไม่ได้  งวดที่ 1
</t>
    </r>
    <r>
      <rPr>
        <b/>
        <sz val="13"/>
        <color rgb="FFFF0000"/>
        <rFont val="Angsana New"/>
        <family val="1"/>
      </rPr>
      <t>วงเงินงบประมาณทั่งสิ้น 134,000 บาท</t>
    </r>
    <r>
      <rPr>
        <sz val="13"/>
        <color theme="1"/>
        <rFont val="Angsana New"/>
        <family val="1"/>
      </rPr>
      <t xml:space="preserve"> 
</t>
    </r>
    <r>
      <rPr>
        <b/>
        <sz val="13"/>
        <color rgb="FF0000CC"/>
        <rFont val="Angsana New"/>
        <family val="1"/>
      </rPr>
      <t>*หมายเหตุ : ยกเว้นค่าธรรมเนียมบำรุงสถาบันการศึกษา ตามประกาศสำนักงาน
การวิจัยแห่งชาติ เรื่อง การรับข้อเสนอ
การวิจัยและนวัตกรรมทุนพัฒนานักวิจัย
ระดับบัณฑิตศึกษา ประจำปีงบประมาณ 
2567 ข้อที่ 4.2 งบสนับสนุนโครงการวิจัย 
สถาบันอุดมศึกษาต้นสังกัดของนักศึกษา
ผู้รับทุนต้องไม่หักเงินทุนจากโครงการเป็น
ค่าใข้จ่ายทางอ้อม</t>
    </r>
  </si>
  <si>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t>
    </r>
    <r>
      <rPr>
        <b/>
        <u/>
        <sz val="13"/>
        <color theme="1"/>
        <rFont val="Angsana New"/>
        <family val="1"/>
      </rPr>
      <t>โครงการย่อยที่ 1</t>
    </r>
    <r>
      <rPr>
        <sz val="13"/>
        <color theme="1"/>
        <rFont val="Angsana New"/>
        <family val="1"/>
      </rPr>
      <t xml:space="preserve"> โมเดลแก้จนสวัสดิการ
ชุมชนเกื้อกูล:คนเมืองลุงไม่ทอดทิ้งกัน งวดที่ 3
</t>
    </r>
    <r>
      <rPr>
        <b/>
        <sz val="13"/>
        <color rgb="FFFF0000"/>
        <rFont val="Angsana New"/>
        <family val="1"/>
      </rPr>
      <t>งบประมาณทั้งสิ้น 2,237,799 บาท</t>
    </r>
    <r>
      <rPr>
        <sz val="13"/>
        <color theme="1"/>
        <rFont val="Angsana New"/>
        <family val="1"/>
      </rPr>
      <t xml:space="preserve"> </t>
    </r>
  </si>
  <si>
    <r>
      <t xml:space="preserve">ตามสัญญาเลขที่ N71A670511 สัญญาให้
ทุนอุดหนุนการวิจัยและนวัตกรรม ภายใต้
งานวิจัยเรื่อง การผลิตและการเพิ่มศักยภาพ
แก๊สชีวภาพจากมูลสัตว์ของวิสาหกิจชุมชน
กลุ่มเลี้ยงโคเนื้อต้นน้ำตำบลเนินงาม งวดที่ 1
</t>
    </r>
    <r>
      <rPr>
        <b/>
        <sz val="13"/>
        <color rgb="FFFF0000"/>
        <rFont val="Angsana New"/>
        <family val="1"/>
      </rPr>
      <t xml:space="preserve">วงเงินงบประมาณทั่งสิ้น 934,500 บาท </t>
    </r>
  </si>
  <si>
    <r>
      <t xml:space="preserve">ตามสัญญาที่ N24A650528 สัญญารับทุน
อุดหนุนการทำกิจกรรมส่งเสริมและสนับสนุน
การวิจัยและนวัตกรรม เรื่อง การเพาะเลี้ยงปลา
ก้างพระร่วง (Kryptopterus Vitreolus) ใน
โรงเพาะฟัก และการพัฒนาเป็นปลาสวยงามเพื่อการส่งออก (ปีที่ 2) งวดที่ 4
</t>
    </r>
    <r>
      <rPr>
        <b/>
        <sz val="13"/>
        <color rgb="FFFF0000"/>
        <rFont val="Angsana New"/>
        <family val="1"/>
      </rPr>
      <t xml:space="preserve">วงเงินทั้งสิ้น 420,000 บาท </t>
    </r>
  </si>
  <si>
    <r>
      <t xml:space="preserve">ตามสัญญาเลขที่ A11F660039 สัญญาให้ทุน
โครงการ การพัฒนาชุมชนนวัตกรรมแบบ
มีส่วนร่วมเพื่อยกระดับผลิตภัณฑ์ปลาดุกร้า
ในพื้นที่รอบลุ่มทะเลสาบสงขลาอย่างยั่งยืน  </t>
    </r>
    <r>
      <rPr>
        <b/>
        <u/>
        <sz val="13"/>
        <color theme="1"/>
        <rFont val="Angsana New"/>
        <family val="1"/>
      </rPr>
      <t>โครงการวิจัยย่อยที่ 1</t>
    </r>
    <r>
      <rPr>
        <sz val="13"/>
        <color theme="1"/>
        <rFont val="Angsana New"/>
        <family val="1"/>
      </rPr>
      <t xml:space="preserve"> การพัฒนานวัตกรรม
การเลี้ยงปลาดุกลูกผสมเพื่อผลิตเป็นวัตถุดิบ
สำหรับแปรรูปผลิตภัณฑ์ปลาดุกร้า งวดที่ 2
</t>
    </r>
    <r>
      <rPr>
        <b/>
        <sz val="13"/>
        <color rgb="FFFF0000"/>
        <rFont val="Angsana New"/>
        <family val="1"/>
      </rPr>
      <t>วงเงินงบประมาณย่อย 682,000 บาท</t>
    </r>
  </si>
  <si>
    <r>
      <t xml:space="preserve">ตามสัญญารับทุนอุดหนุนการวิจัยและ
นวัตกรรม เรื่อง การถ่ายทอดนวัตกรรม
การผลิตปุ๋ยชีวภาพจากของเสี่ยอินทรีย์
ในครัวเรือนด้วยกระบวนการหมักแบบ
ไร้อากาศ จังหวัดชายแดนภาคใต้ งวดที่ 2
</t>
    </r>
    <r>
      <rPr>
        <b/>
        <sz val="13"/>
        <color rgb="FFFF0000"/>
        <rFont val="Angsana New"/>
        <family val="1"/>
      </rPr>
      <t xml:space="preserve">งบประมาณทั้งสิ้น 580,000 บาท </t>
    </r>
  </si>
  <si>
    <r>
      <t xml:space="preserve">ตามสัญญาจ้างผู้เชี่ยวชาญรายบุคคลหรือ
จ้างที่บริษัทที่ปรึกษา เลขที่ 00381/2566 
ได้ว่าจ้างที่ปรึกษาปฏิบัติงานตามโครงการศึกษาความเป็นไปได้ในการจัดตั้งศูนย์การจัดการขยะอันตรายจากชุมชนแบบครบวงจรจังหวัดยะลา ประจำปีงบประมาณ 2566 
งวดที่ 2
</t>
    </r>
    <r>
      <rPr>
        <b/>
        <sz val="13"/>
        <color rgb="FFFF0000"/>
        <rFont val="Angsana New"/>
        <family val="1"/>
      </rPr>
      <t>งบประมาณทั้งสิ้น 400,000 บาท</t>
    </r>
    <r>
      <rPr>
        <sz val="13"/>
        <color theme="1"/>
        <rFont val="Angsana New"/>
        <family val="1"/>
      </rPr>
      <t xml:space="preserve"> </t>
    </r>
  </si>
  <si>
    <r>
      <t xml:space="preserve">ตามสัญญารับทุนอุดหนุนการวิจัยและ
นวัตกรรม เรื่อง ระบบผลิตไฟฟ้าไมโครกริดพลังงานหมุนเวียนแบบผสมผสานสำหรับ
เกาะสีเขียว กรณีศึกษาเกาะสมุย จังหวัด
สุราษฎร์ธานี งวดที่ 2 
</t>
    </r>
    <r>
      <rPr>
        <b/>
        <sz val="13"/>
        <color rgb="FFFF0000"/>
        <rFont val="Angsana New"/>
        <family val="1"/>
      </rPr>
      <t xml:space="preserve">งบประมาณทั้งสิ้น 250,000 บาท </t>
    </r>
  </si>
  <si>
    <r>
      <t xml:space="preserve">ตามสัญญาจ้างผู้เชี่ยวชาญรายบุคคลหรือ
จ้างที่บริษัทที่ปรึกษา เลขที่ 00381/2566 
ได้ว่าจ้างที่ปรึกษาปฏิบัติงานตามโครงการศึกษาความเป็นไปได้ในการจัดตั้งศูนย์การจัดการขยะอันตรายจากชุมชนแบบครบวงจรจังหวัดยะลา ประจำปีงบประมาณ 2566 
งวดที่ 3
</t>
    </r>
    <r>
      <rPr>
        <b/>
        <sz val="13"/>
        <color rgb="FFFF0000"/>
        <rFont val="Angsana New"/>
        <family val="1"/>
      </rPr>
      <t>งบประมาณทั้งสิ้น 400,000 บาท</t>
    </r>
    <r>
      <rPr>
        <sz val="13"/>
        <color theme="1"/>
        <rFont val="Angsana New"/>
        <family val="1"/>
      </rPr>
      <t xml:space="preserve"> </t>
    </r>
  </si>
  <si>
    <r>
      <t xml:space="preserve">ตามสัญญาเลขที่ RII-TDU 002/2566 
ว่าจ้างดำเนินการศึกษาและวิจัยเกี่ยวกับ 
ตรวจสารพันธุกรรมของเชื้อแบคทีเรียวิบริโอ
และไวรัสหัวเหลืองในตัวอย่างกุ้งขาวตัวอ่อน
และโตเต็มวัยด้วยวิธีลูกโซ่พอลิเมอร์เรส 
ภายในระยะเวลา 15 สิงหาคม 2566 - 
14 ตุลาคม 2566 งวดที่ 1 
</t>
    </r>
    <r>
      <rPr>
        <b/>
        <sz val="13"/>
        <color rgb="FFFF0000"/>
        <rFont val="Angsana New"/>
        <family val="1"/>
      </rPr>
      <t>วงเงินงบประมาณทั้งสิ้น 35,000 บาท</t>
    </r>
    <r>
      <rPr>
        <sz val="13"/>
        <color theme="1"/>
        <rFont val="Angsana New"/>
        <family val="1"/>
      </rPr>
      <t xml:space="preserve"> </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</si>
  <si>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theme="1"/>
        <rFont val="Angsana New"/>
        <family val="1"/>
      </rPr>
      <t>โครงการย่อยที่ 2</t>
    </r>
    <r>
      <rPr>
        <sz val="13"/>
        <color theme="1"/>
        <rFont val="Angsana New"/>
        <family val="1"/>
      </rPr>
      <t xml:space="preserve"> การยกระดับเศรษฐกิจ
ชุมชนด้วยโมเดลธุรกิจชุมชนเกื้อกูลตาม
ภูมินิเวศเขา-นา จังหวัดพัทลุง งวดที่ 2 
</t>
    </r>
    <r>
      <rPr>
        <b/>
        <sz val="13"/>
        <color rgb="FFFF0000"/>
        <rFont val="Angsana New"/>
        <family val="1"/>
      </rPr>
      <t>วงเงินงบประมาณย่อย 2,700,000 บาท</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</si>
  <si>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theme="1"/>
        <rFont val="Angsana New"/>
        <family val="1"/>
      </rPr>
      <t>โครงการย่อยที่ 8</t>
    </r>
    <r>
      <rPr>
        <sz val="13"/>
        <color theme="1"/>
        <rFont val="Angsana New"/>
        <family val="1"/>
      </rPr>
      <t xml:space="preserve"> โมเดลจ้างงานแก้จนคน
ป่าพะยอม การพัฒนาแอปพลิเคชันและดิจิทัล
แพลตฟอร์มเพื่อยกระดับทักษะและการ
จ้างงานแรงงานคนในจังหวัดพัทลุง งวดที่ 2
</t>
    </r>
    <r>
      <rPr>
        <b/>
        <sz val="13"/>
        <color rgb="FFFF0000"/>
        <rFont val="Angsana New"/>
        <family val="1"/>
      </rPr>
      <t>วงเงินงบประมาณย่อย 1,000,000 บาท</t>
    </r>
  </si>
  <si>
    <r>
      <t>ตามสัญญารับทุนอุดหนุนการวิจัยและ
นวัตกรรม ทุนพัฒนาศักยภาพในการทำงาน
วิจัยของอาจารย์รุ่นใหม่ประจำปีงบประมาณ 2566 : สัญญาเลขที่ N42A661014 งานวิจัย
เรื่อง ความมีชีวิตของเรณูสละอินโดนีเซียและสละเนินวงศ์และผลของความมีชีวิตของเรณู
ต่อการติดผลและคุณลักษณะของผล งวดที่ 2</t>
    </r>
    <r>
      <rPr>
        <b/>
        <sz val="13"/>
        <color rgb="FFFF0000"/>
        <rFont val="Angsana New"/>
        <family val="1"/>
      </rPr>
      <t>งบประมาณทั้งสิ้น 590,400.00 บาท
หมายเหตุ : ยกเว้นการเรียกเก็บเงินอุดหนุนสถาบันตามประกาศสำนักงาน
การวิจัยแห่งชาติ เรื่อง การรับข้อเสนอ
การวิจัยและนวัตกรรมทุนพัฒนาศักยภาพ
ในการทำงานวิจัยของอาจารย์รุ่นใหม่ 
ประจำปีงบประมาณ 2566 (ข้อที่ 8)</t>
    </r>
  </si>
  <si>
    <r>
      <t xml:space="preserve">ตามสัญญารับทุนอุดหนุนการวิจัยและ
นวัตกรรม ทุนพัฒนาศักยภาพในการทำงาน
วิจัยของอาจารย์รุ่นใหม่ประจำปีงบประมาณ 2566 : สัญญาเลขที่ N42A661015 งานวิจัย
เรื่อง ผลของการเจือ Cd2+,Ni2, and Zn2+ 
ต่อโครงสร้าง สมบัติทางไดอิเล็กทริกและ
สมบัติทางไฟฟ้าของวัสดุออกไซด์ A0.25Cu0.75TiO3 การศึกษาด้วยการทดลองและการคำนวณ งวดที่ 2
</t>
    </r>
    <r>
      <rPr>
        <b/>
        <sz val="13"/>
        <color rgb="FFFF0000"/>
        <rFont val="Angsana New"/>
        <family val="1"/>
      </rPr>
      <t>งบประมาณทั้งสิ้น 600,000.00 บาท</t>
    </r>
    <r>
      <rPr>
        <sz val="13"/>
        <color theme="1"/>
        <rFont val="Angsana New"/>
        <family val="1"/>
      </rPr>
      <t xml:space="preserve">
</t>
    </r>
    <r>
      <rPr>
        <b/>
        <sz val="13"/>
        <color rgb="FFFF0000"/>
        <rFont val="Angsana New"/>
        <family val="1"/>
      </rPr>
      <t>หมายเหตุ : ยกเว้นการเรียกเก็บเงินอุดหนุนสถาบันตามประกาศสำนักงาน
การวิจัยแห่งชาติ เรื่อง การรับข้อเสนอ
การวิจัยและนวัตกรรมทุนพัฒนาศักยภาพ
ในการทำงานวิจัยของอาจารย์รุ่นใหม่ 
ประจำปีงบประมาณ 2566 (ข้อที่ 8)</t>
    </r>
  </si>
  <si>
    <r>
      <t xml:space="preserve">ตามสัญญาจ้างผู้เชี่ยวชาญรายบุคคลหรือ
จ้างที่บริษัทที่ปรึกษา เลขที่ 00381/2566 
ได้ว่าจ้างที่ปรึกษาปฏิบัติงานตามโครงการศึกษาความเป็นไปได้ในการจัดตั้งศูนย์การจัดการขยะอันตรายจากชุมชนแบบครบวงจรจังหวัดยะลา ประจำปีงบประมาณ 2566 
งวดที่ 4
</t>
    </r>
    <r>
      <rPr>
        <b/>
        <sz val="13"/>
        <color rgb="FFFF0000"/>
        <rFont val="Angsana New"/>
        <family val="1"/>
      </rPr>
      <t>งบประมาณทั้งสิ้น 400,000 บาท</t>
    </r>
    <r>
      <rPr>
        <sz val="13"/>
        <color theme="1"/>
        <rFont val="Angsana New"/>
        <family val="1"/>
      </rPr>
      <t xml:space="preserve"> </t>
    </r>
  </si>
  <si>
    <r>
      <t xml:space="preserve">ตามสัญญารับทุนอุดหนุนการวิจัยและ
นวัตกรรม เรื่อง การถ่ายทอดนวัตกรรม
การผลิตปุ๋ยชีวภาพจากของเสี่ยอินทรีย์
ในครัวเรือนด้วยกระบวนการหมักแบบ
ไร้อากาศ จังหวัดชายแดนภาคใต้ งวดที่ 3
</t>
    </r>
    <r>
      <rPr>
        <b/>
        <sz val="13"/>
        <color rgb="FFFF0000"/>
        <rFont val="Angsana New"/>
        <family val="1"/>
      </rPr>
      <t xml:space="preserve">งบประมาณทั้งสิ้น 580,000 บาท </t>
    </r>
  </si>
  <si>
    <r>
      <t xml:space="preserve">เงินสนับสนุนการวิจัย เรื่อง Effects of commercial enzymes supplement on 
growth performances, feed utilizations, nutrients digestibilty in Nile tilapia and 
nutrient loading (P&amp;N) into the water 
งวดที่ 1
</t>
    </r>
    <r>
      <rPr>
        <b/>
        <sz val="13"/>
        <color rgb="FFFF0000"/>
        <rFont val="Angsana New"/>
        <family val="1"/>
      </rPr>
      <t xml:space="preserve">งบประมาณทั้งสิ้น 10,990 USD </t>
    </r>
  </si>
  <si>
    <r>
      <t xml:space="preserve">ตามสัญญารับทุนอุดหนุนการวิจัยและ
นวัตกรรม เรื่อง ชุดการทอลองเคมีย่อส่วนร่วมกับแอปพลิเคชันเพื่อการเรียนรู้ เรื่อง 
สมดุลเคมี งวดที่ 2 
</t>
    </r>
    <r>
      <rPr>
        <b/>
        <sz val="13"/>
        <color rgb="FFFF0000"/>
        <rFont val="Angsana New"/>
        <family val="1"/>
      </rPr>
      <t xml:space="preserve">งบประมาณทั้งสิ้น 450,000 บาท </t>
    </r>
  </si>
  <si>
    <r>
      <t xml:space="preserve">ตามสัญญาเลขที่ N25A670051 สัญญา
ให้ทุนอุดหนุนการวิจัยและนวัตกรรม ภายใต้
งานวิจัยเรื่อง การเปลี่ยนแปลงสภาพ
ภูมิอากาศต่อความหลากหลายทางชีวภาพ
ของเราที่อาศัยร่วมกับหญ้าทะเลและ
การเตรียมเมล็ดหญ้าทะเลที่ทนสภาพ
แวดล้อมที่ไม่เหมาะสมสำหรับการเพาะปลูก 
งวดที่ 1 
</t>
    </r>
    <r>
      <rPr>
        <b/>
        <sz val="13"/>
        <color rgb="FFFF0000"/>
        <rFont val="Angsana New"/>
        <family val="1"/>
      </rPr>
      <t xml:space="preserve">วงเงินงบประมาณทั่งสิ้น 604,000 บาท </t>
    </r>
  </si>
  <si>
    <r>
      <t xml:space="preserve">ตามสัญญาเลขที่ N24A670215 สัญญาให้
ทุนอุดหนุนการวิจัยและนวัตกรรม ภายใต้
งานวิจัยเรื่อง การพัฒนาสารเสริมอาหาร
สัตว์น้ำโดยการใช้วัสดุเศษเหลือจาก
กระบวนการผลิตปลาป่นเพื่อส่งเสริมการ
เจริญเติบโต อัตราการรอด และภูมิคุ้มกัน
ในการเลี้ยงปลาชะโอน งวดที่ 1
</t>
    </r>
    <r>
      <rPr>
        <b/>
        <sz val="13"/>
        <color rgb="FFFF0000"/>
        <rFont val="Angsana New"/>
        <family val="1"/>
      </rPr>
      <t xml:space="preserve">งบประมาณทั้งสิ้น 700,000 บาท </t>
    </r>
  </si>
  <si>
    <r>
      <t xml:space="preserve">ตามสัญญาเลขที่ N71A670165 สัญญาให้
ทุนอุดหนุนการวิจัยและนวัตกรรม ภายใต้
งานวิจัยเรื่อง การเพิ่มมูลค่าเศษเหลือทิ้ง
จากการแปรรูปปลาด้วยนวัตกรรมผลิตปุ๋ย
ชีวภาพแบบไร้อากาศเพื่อเพิ่มศักยภาพการ
เจริญเติบโตของพืชร่วมยางพาราในพื้นที่
ภาคใต้ตอนบน งวดที่ 1
</t>
    </r>
    <r>
      <rPr>
        <b/>
        <sz val="13"/>
        <color rgb="FFFF0000"/>
        <rFont val="Angsana New"/>
        <family val="1"/>
      </rPr>
      <t xml:space="preserve">งบประมาณทั้งสิ้น 650,000 บาท </t>
    </r>
  </si>
  <si>
    <r>
      <t xml:space="preserve">ตามสัญญาเลขที่ N24A670226 สัญญาให้
ทุนอุดหนุนการวิจัยและนวัตกรรม ภายใต้
งานวิจัยเรื่อง อาหารเสริมไพรโบโอติกสำหรับ
ชันโรงอิตาม่าเพื่อส่งเสริมสุขภาพและลด
การล่มสลายของรังอันเนื่องมาจากการ
เปลี่ยนแปลงสภาพภูมิอากาศ งวดที่ 1
</t>
    </r>
    <r>
      <rPr>
        <b/>
        <sz val="13"/>
        <color rgb="FFFF0000"/>
        <rFont val="Angsana New"/>
        <family val="1"/>
      </rPr>
      <t>งบประมาณทั้งสิ้น 700,000 บาท</t>
    </r>
  </si>
  <si>
    <r>
      <t xml:space="preserve">ตามสัญญารับทุนอุดหนุนการวิจัยและ
นวัตกรรม เรื่อง การถ่ายทอดเทคโนโลยีแอป
พลิเคชันหลักสูตรผู้สูงอายุศึกษาสำหรับ
เยาวชน 3 จังหวัดชายแดนภาคใต้ งวดที่ 2
</t>
    </r>
    <r>
      <rPr>
        <b/>
        <sz val="13"/>
        <color rgb="FFFF0000"/>
        <rFont val="Angsana New"/>
        <family val="1"/>
      </rPr>
      <t>งบประมาณทั้งสิ้น 450,000 บาท</t>
    </r>
  </si>
  <si>
    <r>
      <t xml:space="preserve">ตามสัญญารับทุนอุดหนุนการวิจัยและ
นวัตกรรม เรื่อง การถ่ายทอดนวัตกรรม
การผลิตปุ๋ยชีวภาพจากของเสี่ยอินทรีย์
ในครัวเรือนด้วยกระบวนการหมักแบบ
ไร้อากาศ จังหวัดชายแดนภาคใต้ งวดที่ 4
</t>
    </r>
    <r>
      <rPr>
        <b/>
        <sz val="13"/>
        <color rgb="FFFF0000"/>
        <rFont val="Angsana New"/>
        <family val="1"/>
      </rPr>
      <t xml:space="preserve">งบประมาณทั้งสิ้น 580,000 บาท </t>
    </r>
  </si>
  <si>
    <r>
      <t xml:space="preserve">ตามบันทึกข้อตกลงความร่วมมือโครงการส่งเสริมความร่วมมือการใช้ศักยภาพ
โครงสร้างพื้นฐานทางนิวเคลียร์และ
เครื่องมือวิจัย ภายใต้โครงการการเพาะเลี้ยง
และพัฒนาผลิตภัณฑ์อาหารเสริมสุขภาพ
จากสาหร่ายเตา งวดที่ 2 
</t>
    </r>
    <r>
      <rPr>
        <b/>
        <sz val="13"/>
        <color rgb="FFFF0000"/>
        <rFont val="Angsana New"/>
        <family val="1"/>
      </rPr>
      <t xml:space="preserve">งบประมาณทั้งสิ้น 50,000 บาท </t>
    </r>
  </si>
  <si>
    <r>
      <t xml:space="preserve">เงินสนับสนุนการวิจัย เรื่อง Effects of
Lucantin Pink NXT on Pigmentation Growth Performance and Survival of L. vannamei  </t>
    </r>
    <r>
      <rPr>
        <b/>
        <sz val="13"/>
        <color rgb="FFFF0000"/>
        <rFont val="Angsana New"/>
        <family val="1"/>
      </rPr>
      <t>งบประมาณทั้งสิ้น 981,000 บาท</t>
    </r>
  </si>
  <si>
    <r>
      <t xml:space="preserve">ตามสัญญาจ้างวิจัยเลขที่ 01/2567 ว่าจ้าง
ศึกษา วิจัยและพัฒนาโครงการผลการปรับ
การตอบสนองของภูมิคุ้มกัน และการยับยั้ง
แบบแข่งขันของโพรไบโอติก ในการต่อต้าน
แบคทีเรียที่ทำให้เกิดโรค งวดที่ 1
</t>
    </r>
    <r>
      <rPr>
        <b/>
        <sz val="13"/>
        <color rgb="FFFF0000"/>
        <rFont val="Angsana New"/>
        <family val="1"/>
      </rPr>
      <t>งบประมาณทั้งสิ้น 893,178 บาท</t>
    </r>
  </si>
  <si>
    <r>
      <t xml:space="preserve">ตามสัญญาเลขที่ N25A670051 สัญญา
ให้ทุนอุดหนุนการวิจัยและนวัตกรรม ภายใต้
งานวิจัยเรื่อง การเปลี่ยนแปลงสภาพ
ภูมิอากาศต่อความหลากหลายทางชีวภาพ
ของเราที่อาศัยร่วมกับหญ้าทะเลและ
การเตรียมเมล็ดหญ้าทะเลที่ทนสภาพ
แวดล้อมที่ไม่เหมาะสมสำหรับการเพาะปลูก 
งวดที่ 2
</t>
    </r>
    <r>
      <rPr>
        <b/>
        <sz val="13"/>
        <color rgb="FFFF0000"/>
        <rFont val="Angsana New"/>
        <family val="1"/>
      </rPr>
      <t xml:space="preserve">วงเงินงบประมาณทั่งสิ้น 604,000 บาท </t>
    </r>
  </si>
  <si>
    <r>
      <t xml:space="preserve">ตามสัญญารับทุนอุดหนุนการวิจัยและ
นวัตกรรม เรื่อง การถ่ายทอดนวัตกรรม
การผลิตปุ๋ยชีวภาพจากของเสี่ยอินทรีย์
ในครัวเรือนด้วยกระบวนการหมักแบบ
ไร้อากาศ จังหวัดชายแดนภาคใต้ งวดที่ 5
</t>
    </r>
    <r>
      <rPr>
        <b/>
        <sz val="13"/>
        <color rgb="FFFF0000"/>
        <rFont val="Angsana New"/>
        <family val="1"/>
      </rPr>
      <t xml:space="preserve">งบประมาณทั้งสิ้น 580,000 บาท </t>
    </r>
  </si>
  <si>
    <t>PR2-2567:41/31</t>
  </si>
  <si>
    <t>RV00021000067080064</t>
  </si>
  <si>
    <t>ผศ.ดร.ธนพล อยู่เย็น</t>
  </si>
  <si>
    <t xml:space="preserve">บริษัทสงขลามารีนโปรดักส์ 
จำกัด </t>
  </si>
  <si>
    <r>
      <t xml:space="preserve">ตามข้อตกการสนับสนุนทุนจากงบประมาณ
เงินรายได้ กองทุนวิจัยมหาวิทยาลัยทักษิณ 
ประจำปีงบประมาณ 2567 เลขที่ 
TSU67-ECO001 ตามสัญญาระบุการร่วม
ทุนวิจัย ภายใต้โครงการวิจัย เรื่อง การศึกษา
สัดส่วนที่เหมาะสมของผลิตภัณฑ์จากโรงงาน
ปลาบ่นมาใช้ในการเลี้ยงปลาชะโอน 
</t>
    </r>
    <r>
      <rPr>
        <b/>
        <sz val="13"/>
        <color rgb="FFFF0000"/>
        <rFont val="Angsana New"/>
        <family val="1"/>
      </rPr>
      <t>งบประมาณทั้งสิ้น 80,000 บาท 
สนับสนุนโดยผู้ร่วมทุน 10,000 บาท</t>
    </r>
  </si>
  <si>
    <t>28/08/2567</t>
  </si>
  <si>
    <t>PR2-2567:44/16</t>
  </si>
  <si>
    <t>RV00021000067080365</t>
  </si>
  <si>
    <t>บริษัท บุญเกษม ร่วมค้า จำกัด</t>
  </si>
  <si>
    <r>
      <t xml:space="preserve">ตามสัญญาสนับสนุนการวิจัย เรื่อง Evaluation 
of the Pharmacological Effects of 
Supercritical Carbon Dioxide Extraction of 
THC and CBD from Cannabis on 
Parkinson's Disease in a Cell Culture 
Model  งวดที่  1
</t>
    </r>
    <r>
      <rPr>
        <b/>
        <sz val="13"/>
        <color rgb="FFFF0000"/>
        <rFont val="Angsana New"/>
        <family val="1"/>
      </rPr>
      <t xml:space="preserve">วงเงินงบประมาณ 6,000,000 บาท </t>
    </r>
  </si>
  <si>
    <r>
      <t>ตามสัญญารับทุนอุดหนุนการวิจัยและ
นวัตกรรม เรื่อง การถ่ายทอดเทคโนโลยีกระบวนการเตรียมผ้าเคลือบน้ำยางพารา
เพื่อเลี้ยงปลามีเงี่ยงในบ่อลอย งวดที่ 2</t>
    </r>
    <r>
      <rPr>
        <b/>
        <sz val="13"/>
        <color rgb="FFFF0000"/>
        <rFont val="Angsana New"/>
        <family val="1"/>
      </rPr>
      <t>งบประมาณทั้งสิ้น 590,000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</si>
  <si>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1 
การออกแบบและพัฒนากระบวนการขึ้นรูป
ภาชนะบรรจุอาหารจากกาบหมวก งวดที่ 4 </t>
    </r>
    <r>
      <rPr>
        <b/>
        <sz val="13"/>
        <color rgb="FFFF0000"/>
        <rFont val="Angsana New"/>
        <family val="1"/>
      </rPr>
      <t>งบประมาณโครงการทั้งสิ้น 775,000 บาท</t>
    </r>
  </si>
  <si>
    <r>
      <t xml:space="preserve">ตามสัญญาเลขที่ A17F650113 สัญญาให้ทุน
โครงการ การพัฒนาตัวแบบธุรกิจเพื่อเพิ่มขีด
ความสามารถการแข่งขันของแบรนด์ กาหลง 
เป็นสินค้าเศรษฐกิจใหม่ในภาวะวิกฤต
โควิด-19 จ.สตูล : โครงการย่อยที่ 2 การยืด
อายุวัตถุดิบและผลิตภัณฑ์จากกาบหมาก
ภายใต้แบรนด์ กาหลง โดยใช้เทคโนโลยี
ห้องอบความร้อนร่วม งวดที่ 4
</t>
    </r>
    <r>
      <rPr>
        <b/>
        <sz val="13"/>
        <color rgb="FFFF0000"/>
        <rFont val="Angsana New"/>
        <family val="1"/>
      </rPr>
      <t>งบประมาณโครงการทั้งสิ้น 844,200 บาท</t>
    </r>
  </si>
  <si>
    <t>PR2-2567:41/30</t>
  </si>
  <si>
    <t>RV00021000067080063</t>
  </si>
  <si>
    <t>บริษัทพัทลุงพาราเท็กซ์ 
จำกัด</t>
  </si>
  <si>
    <r>
      <t xml:space="preserve">ตามข้อตกการสนับสนุนทุนจากงบประมาณ
เงินรายได้ กองทุนวิจัยมหาวิทยาลัยทักษิณ 
ประจำปีงบประมาณ 2567 เลขที่ 
TSU67-ECO003 ตามสัญญาระบุการร่วม
ทุนวิจัย ภายใต้โครงการวิจัย เรื่อง การใช้
ประโยชน์จากของเสียจากอุตสาหกรรม
น้ำยางข้นเพื่อเป็นวัสดุนำไฟฟ้า 
</t>
    </r>
    <r>
      <rPr>
        <b/>
        <sz val="13"/>
        <color rgb="FFFF0000"/>
        <rFont val="Angsana New"/>
        <family val="1"/>
      </rPr>
      <t>งบประมาณทั้งสิ้น 90,000 บาท 
สนับสนุนโดยผู้ร่วมทุน 10,000 บาท</t>
    </r>
  </si>
  <si>
    <r>
      <t xml:space="preserve">ตามสัญญารับทุนอุดหนุนการวิจัยและ
นวัตกรรม เรื่อง กลไกลการยกระดับทักษะ
สัมมาชีพบนฐานอัตลักษณ์ชุมชนตามศาสตร์
พระราชาสำหรับเยาวชนพื้นที่เกาะ
จังหวัดสตูล งวดที่ 2
</t>
    </r>
    <r>
      <rPr>
        <b/>
        <sz val="13"/>
        <color rgb="FFFF0000"/>
        <rFont val="Angsana New"/>
        <family val="1"/>
      </rPr>
      <t xml:space="preserve">งบประมาณทั้งสิ้น 600,000 บาท </t>
    </r>
  </si>
  <si>
    <r>
      <t xml:space="preserve">ตามสัญญารับทุนอุดหนุนการวิจัยและ
นวัตกรรม เรื่อง กลไกลการยกระดับทักษะ
สัมมาชีพบนฐานอัตลักษณ์ชุมชนตามศาสตร์
พระราชาสำหรับเยาวชนพื้นที่เกาะ
จังหวัดสตูล งวดที่ 3
</t>
    </r>
    <r>
      <rPr>
        <b/>
        <sz val="13"/>
        <color rgb="FFFF0000"/>
        <rFont val="Angsana New"/>
        <family val="1"/>
      </rPr>
      <t xml:space="preserve">งบประมาณทั้งสิ้น 600,000 บาท </t>
    </r>
  </si>
  <si>
    <r>
      <t xml:space="preserve">ตามสัญญาเลขที่ SG0011.23 สนับสนุน
การวิจัยภายใต้โครงการครุศึกษายุคใหม่ 
หรือ Thailand Strengthening Teacher Education Programmen(T-STEP) งวดที่ 1
</t>
    </r>
    <r>
      <rPr>
        <b/>
        <sz val="13"/>
        <color rgb="FFFF0000"/>
        <rFont val="Angsana New"/>
        <family val="1"/>
      </rPr>
      <t>วงเงินงบประมาณทั้งสิ้น 300,000 บาท</t>
    </r>
    <r>
      <rPr>
        <sz val="13"/>
        <color theme="1"/>
        <rFont val="Angsana New"/>
        <family val="1"/>
      </rPr>
      <t xml:space="preserve"> </t>
    </r>
  </si>
  <si>
    <r>
      <t xml:space="preserve">ตามสัญญาเลขที่ N32A670238 สัญญาให้
ทุนอุดหนุนการวิจัยและนวัตกรรม ภายใต้
งานวิจัยเรื่อง การพัฒนาภาวะผู้นำเชิง
นวัตกรรมของผู้บริหารสถานศึกษาเพื่อ
สร้างการเปลี่ยนแปลงของสถานศึกษาที่
ยึดโยงกับการจัดการศึกษาเชิงพื้นที่และ
ส่งเสริมคุณลักษณะผู้ร่วมสร้างสรรค์นวัตกรรม
ของผู้เรียนในพื้นที่นวัตกรรมการศึกษา
จังหวัดสงขลา งวดที่ 1
</t>
    </r>
    <r>
      <rPr>
        <b/>
        <sz val="13"/>
        <color rgb="FFFF0000"/>
        <rFont val="Angsana New"/>
        <family val="1"/>
      </rPr>
      <t xml:space="preserve">งบประมาณทั้งสิ้น 1,000,000 บาท </t>
    </r>
  </si>
  <si>
    <r>
      <t xml:space="preserve">เงินสนับสนุนผ่านโครงการพัฒนาคุณภาพ
การศึกษาและการพัฒนาท้องถิ่นโดยมีสถาบันอุดมศึกษาเป็นพี่เลี้ยง ประจำปี 2567: 
ภายใต้โครงการการพัฒนารูปแบบการเรียน
การสอนวิชาพลศึกษาโดยใช้กิจกรรมทางกาย
บูรณาการกับกลุ่มสาระการเรียนรู้ต่าง ๆ 
ภายหลังจากสถานการณ์โควิด19 ในรูปแบบ 
PLC สู่สังคมที่ยั่งยืน ของนักเรียนระดับ
ประถมศึกษาในโรงเรียนขนาดเล็กและขนาด
กลาง เขตจังหวัดสงขลา พัทลุง และ
นครศรีธรรมราช งวดที่ 1 
</t>
    </r>
    <r>
      <rPr>
        <b/>
        <sz val="13"/>
        <color rgb="FFFF0000"/>
        <rFont val="Angsana New"/>
        <family val="1"/>
      </rPr>
      <t>งบประมาณทั้งสิ้น 200,000 บาท</t>
    </r>
  </si>
  <si>
    <r>
      <t xml:space="preserve">ตามสัญญารับทุนอุดหนุนการวิจัยและ
นวัตกรรม เรื่อง กลไกลการยกระดับทักษะ
สัมมาชีพบนฐานอัตลักษณ์ชุมชนตามศาสตร์
พระราชาสำหรับเยาวชนพื้นที่เกาะ
จังหวัดสตูล งวดที่ 4
</t>
    </r>
    <r>
      <rPr>
        <b/>
        <sz val="13"/>
        <color rgb="FFFF0000"/>
        <rFont val="Angsana New"/>
        <family val="1"/>
      </rPr>
      <t xml:space="preserve">งบประมาณทั้งสิ้น 600,000 บาท </t>
    </r>
  </si>
  <si>
    <r>
      <t xml:space="preserve">ตามสัญญารับทุนอุดหนุนการวิจัยและ
นวัตกรรม เรื่อง กลไกลการยกระดับทักษะ
สัมมาชีพบนฐานอัตลักษณ์ชุมชนตามศาสตร์
พระราชาสำหรับเยาวชนพื้นที่เกาะ
จังหวัดสตูล งวดที่ 5
</t>
    </r>
    <r>
      <rPr>
        <b/>
        <sz val="13"/>
        <color rgb="FFFF0000"/>
        <rFont val="Angsana New"/>
        <family val="1"/>
      </rPr>
      <t xml:space="preserve">งบประมาณทั้งสิ้น 600,000 บาท </t>
    </r>
  </si>
  <si>
    <r>
      <t xml:space="preserve">ตามสัญญาเลขที่ A13F660088 สัญญาให้ทุนโครงการ การพัฒนาพื้นที่นวัตกรรมการศึกษาบนฐานข้อมูลครัวเรือนคนจนจังหวัดพัทลุง
ด้วยนวัตกรรมเชิงระบบและนวัตกรรม
การเรียนรู้ 
</t>
    </r>
    <r>
      <rPr>
        <b/>
        <u/>
        <sz val="13"/>
        <color theme="1"/>
        <rFont val="Angsana New"/>
        <family val="1"/>
      </rPr>
      <t>โครงการวิจัยย่อยที่ 1</t>
    </r>
    <r>
      <rPr>
        <sz val="13"/>
        <color theme="1"/>
        <rFont val="Angsana New"/>
        <family val="1"/>
      </rPr>
      <t xml:space="preserve"> การพัฒนานวัตกรรม
การบริหารความเป็นอิสระเพื่อสร้างนวัตกร
รุ่นเยาว์ของสถานศึกษาพึ่งตนเอง 
(Stand Alone) โดยใช้หลักปรัชญาเศรษฐกิจ
พอเพียง จังหวัดพัทลุง งวดที่ 2
</t>
    </r>
    <r>
      <rPr>
        <b/>
        <sz val="13"/>
        <color rgb="FFFF0000"/>
        <rFont val="Angsana New"/>
        <family val="1"/>
      </rPr>
      <t>วงเงินงบประมาณย่อย 1,415,000 บาท</t>
    </r>
    <r>
      <rPr>
        <sz val="13"/>
        <color theme="1"/>
        <rFont val="Angsana New"/>
        <family val="1"/>
      </rPr>
      <t xml:space="preserve"> </t>
    </r>
  </si>
  <si>
    <r>
      <t xml:space="preserve">ตามสัญญาเลขที่ A13F660088 สัญญาให้ทุนโครงการ การพัฒนาพื้นที่นวัตกรรมการศึกษาบนฐานข้อมูลครัวเรือนคนจนจังหวัดพัทลุง
ด้วยนวัตกรรมเชิงระบบและนวัตกรรม
การเรียนรู้  
</t>
    </r>
    <r>
      <rPr>
        <b/>
        <u/>
        <sz val="13"/>
        <color theme="1"/>
        <rFont val="Angsana New"/>
        <family val="1"/>
      </rPr>
      <t>โครงการวิจัยย่อยที่ 2</t>
    </r>
    <r>
      <rPr>
        <sz val="13"/>
        <color theme="1"/>
        <rFont val="Angsana New"/>
        <family val="1"/>
      </rPr>
      <t xml:space="preserve"> การพัฒนาหลักสูตร
ฐานสมรรถนะการเรียนรู้ทักษะอาชีพ โดยใช้
ชุมชนการเรียนรู้ทางวิชาชีพ งวดที่ 2
</t>
    </r>
    <r>
      <rPr>
        <b/>
        <sz val="13"/>
        <color rgb="FFFF0000"/>
        <rFont val="Angsana New"/>
        <family val="1"/>
      </rPr>
      <t>วงเงินงบประมาณย่อย 1,415,000 บาท</t>
    </r>
    <r>
      <rPr>
        <sz val="13"/>
        <color theme="1"/>
        <rFont val="Angsana New"/>
        <family val="1"/>
      </rPr>
      <t xml:space="preserve"> </t>
    </r>
  </si>
  <si>
    <r>
      <t xml:space="preserve">ตามบันทึกข้อตกลงความร่วมมือ โครงการ
พัฒนาเครือข่ายสถาบันอุดมศึกษา เพื่อการ
วิจัยและพัฒนาภาครัฐร่วมเอกชนในเชิง
พาณิชย์ ประจำปีงบประมาณ พ.ศ.2566 
ภายใต้งานวิจัย การพัฒนาและประเมินทาง
เคมีภายภาพของตำรับมาร์คหน้าแบบ
ล้างออกจากสารสกัดรำข้าวสังข์หยด งวดที่ 1 </t>
    </r>
    <r>
      <rPr>
        <b/>
        <sz val="13"/>
        <color rgb="FFFF0000"/>
        <rFont val="Angsana New"/>
        <family val="1"/>
      </rPr>
      <t>งบประมาณทั้งสิ้น 150,000 บาท</t>
    </r>
    <r>
      <rPr>
        <sz val="13"/>
        <color theme="1"/>
        <rFont val="Angsana New"/>
        <family val="1"/>
      </rPr>
      <t xml:space="preserve"> 
</t>
    </r>
    <r>
      <rPr>
        <b/>
        <sz val="13"/>
        <color rgb="FF0000CC"/>
        <rFont val="Angsana New"/>
        <family val="1"/>
      </rPr>
      <t>หมายเหตุ : ยกเว้นค่าธรรมเนียมบำรุงสถาบันการศึกษา ตามหนังสือของสำนักงานปลัดกระทรวงการอุดมศึกษา วิทยาศาสตร์ วิจัยและนวัตกรรม 
ที่ อว 0203.7/ว16260</t>
    </r>
  </si>
  <si>
    <r>
      <t xml:space="preserve">ตามสัญญาเลขที่ A11F660039 สัญญาให้ทุน
โครงการ การพัฒนาชุมชนนวัตกรรมแบบ
มีส่วนร่วมเพื่อยกระดับผลิตภัณฑ์ปลาดุกร้า
ในพื้นที่รอบลุ่มทะเลสาบสงขลาอย่างยั่งยืน 
งวดที่ 2
</t>
    </r>
    <r>
      <rPr>
        <b/>
        <sz val="13"/>
        <color rgb="FFFF0000"/>
        <rFont val="Angsana New"/>
        <family val="1"/>
      </rPr>
      <t xml:space="preserve">งบประมาณทั้งสิ้น 3,000,000 บาท </t>
    </r>
  </si>
  <si>
    <r>
      <t xml:space="preserve">ตามสัญญาเลขที่ A11F660039 สัญญาให้ทุน
โครงการ การพัฒนาชุมชนนวัตกรรมแบบ
มีส่วนร่วมเพื่อยกระดับผลิตภัณฑ์ปลาดุกร้า
ในพื้นที่รอบลุ่มทะเลสาบสงขลาอย่างยั่งยืน </t>
    </r>
    <r>
      <rPr>
        <b/>
        <u/>
        <sz val="13"/>
        <color theme="1"/>
        <rFont val="Angsana New"/>
        <family val="1"/>
      </rPr>
      <t>โครงการวิจัยย่อยที่ 2</t>
    </r>
    <r>
      <rPr>
        <sz val="13"/>
        <color theme="1"/>
        <rFont val="Angsana New"/>
        <family val="1"/>
      </rPr>
      <t xml:space="preserve"> นวัตกรรมเพื่อ
การยกระดับคุณภาพผลิตภัณฑ์ปลาดุกร้า
และการสร้างมูลค่าเพิ่มวัสดุเศษเหลือจาก
กระบวนการผลิตปลาดุกร้าในพื้นที่รอบลุ่ม
ทะเลสาบสงขลา งวดที่ 2
</t>
    </r>
    <r>
      <rPr>
        <b/>
        <sz val="13"/>
        <color rgb="FFFF0000"/>
        <rFont val="Angsana New"/>
        <family val="1"/>
      </rPr>
      <t>วงเงินงบประมาณย่อย 1,169,232 บาท</t>
    </r>
    <r>
      <rPr>
        <sz val="13"/>
        <color theme="1"/>
        <rFont val="Angsana New"/>
        <family val="1"/>
      </rPr>
      <t xml:space="preserve"> </t>
    </r>
  </si>
  <si>
    <r>
      <t xml:space="preserve">ตามบันทึกข้อตกลงความร่วมมือ โครงการ
พัฒนาเครือข่ายสถาบันอุดมศึกษา เพื่อการ
วิจัยและพัฒนาภาครัฐร่วมเอกชนในเชิง
พาณิชย์ ประจำปีงบประมาณ พ.ศ.2566 
ภายใต้งานวิจัย การพัฒนาและประเมินทาง
เคมีภายภาพของตำรับมาร์คหน้าแบบ
ล้างออกจากสารสกัดรำข้าวสังข์หยด งวดที่ 2 </t>
    </r>
    <r>
      <rPr>
        <b/>
        <sz val="13"/>
        <color rgb="FFFF0000"/>
        <rFont val="Angsana New"/>
        <family val="1"/>
      </rPr>
      <t>งบประมาณทั้งสิ้น 150,000 บาท</t>
    </r>
    <r>
      <rPr>
        <sz val="13"/>
        <color theme="1"/>
        <rFont val="Angsana New"/>
        <family val="1"/>
      </rPr>
      <t xml:space="preserve"> 
</t>
    </r>
    <r>
      <rPr>
        <b/>
        <sz val="13"/>
        <color rgb="FF0000CC"/>
        <rFont val="Angsana New"/>
        <family val="1"/>
      </rPr>
      <t>หมายเหตุ : ยกเว้นค่าธรรมเนียมบำรุงสถาบันการศึกษา ตามหนังสือของสำนักงานปลัดกระทรวงการอุดมศึกษา วิทยาศาสตร์ วิจัยและนวัตกรรม 
ที่ อว 0203.7/ว16260</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</si>
  <si>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rFont val="Angsana New"/>
        <family val="1"/>
      </rPr>
      <t>โครงการย่อยที่ 7</t>
    </r>
    <r>
      <rPr>
        <sz val="13"/>
        <rFont val="Angsana New"/>
        <family val="1"/>
      </rPr>
      <t xml:space="preserve">  ท่องเที่ยวชุมชนแก้จน 
ยลวิถีเมืองลุง งวดที่ 2
</t>
    </r>
    <r>
      <rPr>
        <b/>
        <sz val="13"/>
        <color rgb="FFFF0000"/>
        <rFont val="Angsana New"/>
        <family val="1"/>
      </rPr>
      <t>วงเงินงบประมาณย่อย 1,000,000 บาท</t>
    </r>
  </si>
  <si>
    <r>
      <t>ตามใบสั่งจ้างเลขที่ กฟ(9001)28/2566 
สำหรับรายการจ้างจัดทำแผนยุทธศาสตร์กองทุนพัฒนาไฟฟ้าโรงไฟฟ้าจะนะ จังหวัด
สงขลา พ.ศ.2568 - พ.ศ.2570 (3 ปี) งวดที่ 2</t>
    </r>
    <r>
      <rPr>
        <b/>
        <sz val="13"/>
        <color rgb="FFFF0000"/>
        <rFont val="Angsana New"/>
        <family val="1"/>
      </rPr>
      <t xml:space="preserve">งบประมาณทั้งสิ้น 500,000 บาท </t>
    </r>
  </si>
  <si>
    <r>
      <t xml:space="preserve">ตามใบสั่งจ้างเลขที่ จ253/2566 ว่าจ้างศึกษา
สถานการณ์และออกแบบกิจกรรมด้าน
เศรษฐกิจสร้างสรรค์ และกิจกรรม Soft Power 
ในจังหวัดสงขลา งวดที่ 3
</t>
    </r>
    <r>
      <rPr>
        <b/>
        <sz val="13"/>
        <color rgb="FF0000CC"/>
        <rFont val="Angsana New"/>
        <family val="1"/>
      </rPr>
      <t xml:space="preserve">หมายเหตุ : ในงวดที่ 3 มีการหักค่าปรับ
จากการส่งมอบงานเกินระยะเวลาตาม
สัญญาเป็นเงิน 16,000 บาท คงเหลือโอนเงินงวดเพียง 234,000 บาท
</t>
    </r>
    <r>
      <rPr>
        <b/>
        <sz val="13"/>
        <color rgb="FFFF0000"/>
        <rFont val="Angsana New"/>
        <family val="1"/>
      </rPr>
      <t xml:space="preserve">งบประมาณทั้งสิ้น 500,000 บาท </t>
    </r>
  </si>
  <si>
    <r>
      <t>ตามใบสั่งจ้างเลขที่ กฟ(9001)28/2566 
สำหรับรายการจ้างจัดทำแผนยุทธศาสตร์กองทุนพัฒนาไฟฟ้าโรงไฟฟ้าจะนะ จังหวัด
สงขลา พ.ศ.2568 - พ.ศ.2570 (3 ปี) งวดที่ 3-4</t>
    </r>
    <r>
      <rPr>
        <b/>
        <sz val="13"/>
        <color rgb="FFFF0000"/>
        <rFont val="Angsana New"/>
        <family val="1"/>
      </rPr>
      <t xml:space="preserve">งบประมาณทั้งสิ้น 500,000 บาท </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</si>
  <si>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งวดที่ 2
</t>
    </r>
    <r>
      <rPr>
        <b/>
        <sz val="13"/>
        <color rgb="FFFF0000"/>
        <rFont val="Angsana New"/>
        <family val="1"/>
      </rPr>
      <t>งบประมาณทั้งสิ้น 21,000,000 บาท</t>
    </r>
    <r>
      <rPr>
        <sz val="13"/>
        <color theme="1"/>
        <rFont val="Angsana New"/>
        <family val="1"/>
      </rPr>
      <t xml:space="preserve"> </t>
    </r>
  </si>
  <si>
    <r>
      <t xml:space="preserve">ตามสัญญาเลขที่ A11F660022 ให้ทุน
โครงการ กริชสกุลช่างสงขลา การสร้าง
คุณค่าและการจัดการทุนทางวัฒนธรรม
แบบมีส่วนร่วมเพื่อพัฒนาเศรษฐกิจฐานราก
อย่างยั่งยืน งวดที่ 2 
</t>
    </r>
    <r>
      <rPr>
        <b/>
        <sz val="13"/>
        <color rgb="FFFF0000"/>
        <rFont val="Angsana New"/>
        <family val="1"/>
      </rPr>
      <t>งบประมาณทั้งสิ้น 2,000,000 บาท</t>
    </r>
  </si>
  <si>
    <r>
      <t xml:space="preserve">ตามสัญญาเลขที่ A11F670068 สนับสนุน
ทุนโครงการ มวยไทยเมืองลุง : พลังเครือข่าย
แบบมีส่วนร่วมและการจัดการทุนวัฒนธรรม
เพื่อยกระดับเศรษฐกิจชุมชน งวดที่ 1
</t>
    </r>
    <r>
      <rPr>
        <b/>
        <sz val="13"/>
        <color rgb="FFFF0000"/>
        <rFont val="Angsana New"/>
        <family val="1"/>
      </rPr>
      <t>งบประมาณทั้งสิ้น 2,000,000 บาท</t>
    </r>
    <r>
      <rPr>
        <sz val="13"/>
        <color theme="1"/>
        <rFont val="Angsana New"/>
        <family val="1"/>
      </rPr>
      <t xml:space="preserve"> </t>
    </r>
  </si>
  <si>
    <r>
      <t xml:space="preserve">ตามสัญญาให้ทุนโครงการวิจัยและนวัตกรรม
เพื่อแก้ไขปัญหาความยากจนอย่างเบ็ดเสร็จ
และแม่นยำในจังหวัดพัทลุง ปีที่ 2 
</t>
    </r>
    <r>
      <rPr>
        <b/>
        <sz val="13"/>
        <color theme="1"/>
        <rFont val="Angsana New"/>
        <family val="1"/>
      </rPr>
      <t>(งบประมาณทั้งสิ้น 8,500,000 บาท)</t>
    </r>
    <r>
      <rPr>
        <sz val="13"/>
        <color theme="1"/>
        <rFont val="Angsana New"/>
        <family val="1"/>
      </rPr>
      <t xml:space="preserve"> 
โดยแบ่งเป็นโครงการบริหารจัดการเพื่อแก้ไข
ปัญหาความยากจนระดับจังหวัดพัทลุง งวดที่ 3
</t>
    </r>
    <r>
      <rPr>
        <b/>
        <sz val="13"/>
        <color rgb="FFFF0000"/>
        <rFont val="Angsana New"/>
        <family val="1"/>
      </rPr>
      <t>งบประมาณทั้งสิ้น 3,066,837 บาท</t>
    </r>
    <r>
      <rPr>
        <sz val="13"/>
        <color theme="1"/>
        <rFont val="Angsana New"/>
        <family val="1"/>
      </rPr>
      <t xml:space="preserve"> </t>
    </r>
  </si>
  <si>
    <r>
      <t xml:space="preserve">ตามสัญญาเลขที่ A13F660175 สัญญาให้ทุน
โครงการ ทะเลสาบสงขลานิเวศแห่งการเรียนรู้
สู่เมืองมรดกโลก งวดที่ 2 
</t>
    </r>
    <r>
      <rPr>
        <b/>
        <sz val="13"/>
        <color rgb="FFFF0000"/>
        <rFont val="Angsana New"/>
        <family val="1"/>
      </rPr>
      <t>งบประมาณทั้งสิ้น 500,000 บาท</t>
    </r>
    <r>
      <rPr>
        <sz val="13"/>
        <color theme="1"/>
        <rFont val="Angsana New"/>
        <family val="1"/>
      </rPr>
      <t xml:space="preserve"> </t>
    </r>
  </si>
  <si>
    <r>
      <t xml:space="preserve">ตามสัญญาเลขที่ A11F660109 สัญญาให้ทุน
โครงการ การวิจัยและนวัตกรรมเพื่อแก้ไข
ปัญหาความยากจนแบบเบ็ดเสร็จและแม่นยำ
ในจังหวัดพัทลุง ปีที่ 3 
</t>
    </r>
    <r>
      <rPr>
        <b/>
        <u/>
        <sz val="13"/>
        <color theme="1"/>
        <rFont val="Angsana New"/>
        <family val="1"/>
      </rPr>
      <t>โครงการย่อยที่ 6</t>
    </r>
    <r>
      <rPr>
        <sz val="13"/>
        <color theme="1"/>
        <rFont val="Angsana New"/>
        <family val="1"/>
      </rPr>
      <t xml:space="preserve"> แพลนต์เบสฟู๊ดปันสุข 
กงหรา งวดที่ 2
</t>
    </r>
    <r>
      <rPr>
        <b/>
        <sz val="13"/>
        <color rgb="FFFF0000"/>
        <rFont val="Angsana New"/>
        <family val="1"/>
      </rPr>
      <t>วงเงินงบประมาณย่อย  1,000,000 บาท</t>
    </r>
  </si>
  <si>
    <r>
      <t xml:space="preserve">ตามสัญญาเลขที่ C08F670068 ซึ่งเป็นสัญญา
ให้ทุนโครงการ การพัฒนาธุรกิจฐานนวัตกรรม: 
แผนงานสุดยอดกลุ่มอุตสาหกรรมบีซีจีภาคใต้ 
ภายใต้แผนงาน F7(S1P8) พัมนาและส่งเสริม
ให้ประเทศเพิ่มธุรกิจฐานนวัตกรรม (IDEs) 
งวดที่ 1 
</t>
    </r>
    <r>
      <rPr>
        <b/>
        <sz val="13"/>
        <color rgb="FFFF0000"/>
        <rFont val="Angsana New"/>
        <family val="1"/>
      </rPr>
      <t xml:space="preserve">งบประมาณทั้งสิ้น 10,000,000.00 บาท </t>
    </r>
  </si>
  <si>
    <t>ประจำปีงบประมาณ พ.ศ. 2564   ตั้งแต่วันที่  1  ตุลาคม 2564  ถึงวันที่ 30 กันยายน 2565</t>
  </si>
  <si>
    <t>สรุปรายได้เพื่อการวิจัยจากแหล่งทุนภายนอก</t>
  </si>
  <si>
    <r>
      <rPr>
        <b/>
        <u/>
        <sz val="13"/>
        <color theme="1"/>
        <rFont val="Angsana New"/>
        <family val="1"/>
      </rPr>
      <t>ยกเว้น</t>
    </r>
    <r>
      <rPr>
        <b/>
        <sz val="13"/>
        <color theme="1"/>
        <rFont val="Angsana New"/>
        <family val="1"/>
      </rPr>
      <t xml:space="preserve">
ค่าธรรมเนียม
การวิจัย</t>
    </r>
  </si>
  <si>
    <t>ประจำปีงบประมาณ พ.ศ. 2567   ตั้งแต่วันที่  1  ตุลาคม  2566  ถึงวันที่  30  กันยายน  2567</t>
  </si>
  <si>
    <t>คณะสหวิทยาการและ
การประกอบการ</t>
  </si>
  <si>
    <t>05/09/2567</t>
  </si>
  <si>
    <t>PR2-2567:44/45</t>
  </si>
  <si>
    <t>RV00021000067090048</t>
  </si>
  <si>
    <r>
      <t xml:space="preserve">ตามสัญญาเลขที่ A11F670134 เงินสนับสนุน
ทุนโครงการ พัทลุงโมเดล การวิจัยและ
นวัตกรรมสังคมเพื่อแก้ไขปัญหาความ
ยากจนแบบเบ็ดเสร็จและแม่นยำ
</t>
    </r>
    <r>
      <rPr>
        <b/>
        <u/>
        <sz val="13"/>
        <color theme="1"/>
        <rFont val="Angsana New"/>
        <family val="1"/>
      </rPr>
      <t>โครการย่อย ที่ 3</t>
    </r>
    <r>
      <rPr>
        <sz val="13"/>
        <color theme="1"/>
        <rFont val="Angsana New"/>
        <family val="1"/>
      </rPr>
      <t xml:space="preserve">  พริกขาวชัยบุรี พืช
คู่เคียงคนจน งวดที่ 1
</t>
    </r>
    <r>
      <rPr>
        <b/>
        <sz val="13"/>
        <color rgb="FFFF0000"/>
        <rFont val="Angsana New"/>
        <family val="1"/>
      </rPr>
      <t>งบประมาณทั้งสิ้น 2,000,000 บาท</t>
    </r>
    <r>
      <rPr>
        <sz val="13"/>
        <color theme="1"/>
        <rFont val="Angsana New"/>
        <family val="1"/>
      </rPr>
      <t xml:space="preserve"> </t>
    </r>
  </si>
  <si>
    <r>
      <t xml:space="preserve">ตามสัญญาเลขที่ A11F670134 เงินสนับสนุน
ทุนโครงการ พัทลุงโมเดล การวิจัยและ
นวัตกรรมสังคมเพื่อแก้ไขปัญหาความ
ยากจนแบบเบ็ดเสร็จและแม่นยำ 
</t>
    </r>
    <r>
      <rPr>
        <b/>
        <u/>
        <sz val="13"/>
        <color theme="1"/>
        <rFont val="Angsana New"/>
        <family val="1"/>
      </rPr>
      <t>โครการย่อย ที่ 4</t>
    </r>
    <r>
      <rPr>
        <sz val="13"/>
        <color theme="1"/>
        <rFont val="Angsana New"/>
        <family val="1"/>
      </rPr>
      <t xml:space="preserve">  เหลียงใบใหญ่โมเดล
แก้จน คนศรีนครินทร์ งวดที่ 1
</t>
    </r>
    <r>
      <rPr>
        <b/>
        <sz val="13"/>
        <color rgb="FFFF0000"/>
        <rFont val="Angsana New"/>
        <family val="1"/>
      </rPr>
      <t>งบประมาณทั้งสิ้น 1,270,000 บาท</t>
    </r>
    <r>
      <rPr>
        <sz val="13"/>
        <color theme="1"/>
        <rFont val="Angsana New"/>
        <family val="1"/>
      </rPr>
      <t xml:space="preserve"> </t>
    </r>
  </si>
  <si>
    <t>13/09/2567</t>
  </si>
  <si>
    <t>PR2-2567:46/17</t>
  </si>
  <si>
    <t>RV00021000067090235</t>
  </si>
  <si>
    <r>
      <t xml:space="preserve">ตามสัญญารับเงินสนับสนุนแผนงานหรือ
โครงการเลขที่ 1/2567 ภายใต้โครงการวิจัย 
เรื่อง แนวทางการพัฒนาการมีส่วนร่วมของ
คนพิการในการตรากฎหมาย ภายใต้มาตรา 
77 รัฐธรรมนูญแห่งราชอาณาจักรไทย
พุทธศักราช 2560 งวดที่ 3
</t>
    </r>
    <r>
      <rPr>
        <b/>
        <sz val="13"/>
        <color rgb="FFFF0000"/>
        <rFont val="Angsana New"/>
        <family val="1"/>
      </rPr>
      <t>วงเงินตามสัญญา 508,725 บาท</t>
    </r>
  </si>
  <si>
    <t>30/09/2567</t>
  </si>
  <si>
    <t>PR2-2567:48/14</t>
  </si>
  <si>
    <t>RV00021000067090470</t>
  </si>
  <si>
    <r>
      <t xml:space="preserve">ตามสัญญาเลขที่ N71A670035 สัญญา
ให้ทุนอุดหนุนการวิจัยและนวัตกรรม ภายใต้
งานวิจัยเรื่อง กระบวนการจัดทำต้นแบบ
ธรรมนูญชุมชนเพื่อการอนุรักษ์ทรัพยากร
ของลุ่มน้ำทะเลสาบสงขลาแบบมีส่วนร่วม
ของชุมชนลุ่มน้ำทะเลสาบสงขลาอย่างมั่นคงและยั่งยืน งวดที่ 2
</t>
    </r>
    <r>
      <rPr>
        <b/>
        <sz val="13"/>
        <color rgb="FFFF0000"/>
        <rFont val="Angsana New"/>
        <family val="1"/>
      </rPr>
      <t>วงเงินงบประมาณทั่งสิ้น 500,000 บาท</t>
    </r>
    <r>
      <rPr>
        <sz val="13"/>
        <color theme="1"/>
        <rFont val="Angsana New"/>
        <family val="1"/>
      </rPr>
      <t xml:space="preserve"> </t>
    </r>
  </si>
  <si>
    <r>
      <t xml:space="preserve">ตามสัญญาเลขที่ A11F670134 เงินสนับสนุน
ทุนโครงการ พัทลุงโมเดล การวิจัยและ
นวัตกรรมสังคมเพื่อแก้ไขปัญหาความ
ยากจนแบบเบ็ดเสร็จและแม่นยำ 
</t>
    </r>
    <r>
      <rPr>
        <b/>
        <u/>
        <sz val="13"/>
        <color theme="1"/>
        <rFont val="Angsana New"/>
        <family val="1"/>
      </rPr>
      <t>โครการย่อย ที่ 1</t>
    </r>
    <r>
      <rPr>
        <sz val="13"/>
        <color theme="1"/>
        <rFont val="Angsana New"/>
        <family val="1"/>
      </rPr>
      <t xml:space="preserve"> อุตสาหกรรมสร้างสรรค์
งานคราฟกระจูด อำเภอควนขนุน จังหวัด
พัทลุง งวดที่ 1
</t>
    </r>
    <r>
      <rPr>
        <b/>
        <sz val="13"/>
        <color rgb="FFFF0000"/>
        <rFont val="Angsana New"/>
        <family val="1"/>
      </rPr>
      <t>งบประมาณทั้งสิ้น 2,000,000 บาท</t>
    </r>
    <r>
      <rPr>
        <sz val="13"/>
        <color theme="1"/>
        <rFont val="Angsana New"/>
        <family val="1"/>
      </rPr>
      <t xml:space="preserve"> </t>
    </r>
  </si>
  <si>
    <t>ดร.วราภรณ์ ทนงศักดิ์</t>
  </si>
  <si>
    <r>
      <t xml:space="preserve">ตามสัญญาเลขที่ A11F670134 เงินสนับสนุน
ทุนโครงการ พัทลุงโมเดล การวิจัยและ
นวัตกรรมสังคมเพื่อแก้ไขปัญหาความ
ยากจนแบบเบ็ดเสร็จและแม่นยำ 
</t>
    </r>
    <r>
      <rPr>
        <b/>
        <u/>
        <sz val="13"/>
        <color theme="1"/>
        <rFont val="Angsana New"/>
        <family val="1"/>
      </rPr>
      <t>โครการย่อย ที่ 5</t>
    </r>
    <r>
      <rPr>
        <b/>
        <sz val="13"/>
        <color theme="1"/>
        <rFont val="Angsana New"/>
        <family val="1"/>
      </rPr>
      <t xml:space="preserve"> </t>
    </r>
    <r>
      <rPr>
        <sz val="13"/>
        <color theme="1"/>
        <rFont val="Angsana New"/>
        <family val="1"/>
      </rPr>
      <t xml:space="preserve">บางแก้วโมเดล ประมง
พื้นบ้านแก้จน งวดที่ 1
</t>
    </r>
    <r>
      <rPr>
        <b/>
        <sz val="13"/>
        <color rgb="FFFF0000"/>
        <rFont val="Angsana New"/>
        <family val="1"/>
      </rPr>
      <t>งบประมาณทั้งสิ้น 1,000,000 บาท</t>
    </r>
  </si>
  <si>
    <t>หักส่งงวดสุดท้าย</t>
  </si>
  <si>
    <t>17/09/2567</t>
  </si>
  <si>
    <t>PR2-2567:46/33</t>
  </si>
  <si>
    <t>RV00021000067090276</t>
  </si>
  <si>
    <r>
      <t xml:space="preserve">ตามสัญญาเลขที่ N71A670027 สัญญา
ให้ทุนอุดหนุนการวิจัยและนวัตกรรม ภายใต้
งานวิจัยเรื่อง การจัดการความรู้และ
การถ่ายทอดการใช้แอปพลิเคชันติดตามและ
ช่วยเหลือผู้สูงอายุในสถานการณ์อุทกภัย 
งวดที่ 2
</t>
    </r>
    <r>
      <rPr>
        <b/>
        <sz val="13"/>
        <color rgb="FFFF0000"/>
        <rFont val="Angsana New"/>
        <family val="1"/>
      </rPr>
      <t>วงเงินงบประมาณทั่งสิ้น 500,000 บาท</t>
    </r>
    <r>
      <rPr>
        <sz val="13"/>
        <color theme="1"/>
        <rFont val="Angsana New"/>
        <family val="1"/>
      </rPr>
      <t xml:space="preserve"> </t>
    </r>
  </si>
  <si>
    <t>20/09/2567</t>
  </si>
  <si>
    <t>PR2-2567:47/12</t>
  </si>
  <si>
    <t>RV00021000067090335</t>
  </si>
  <si>
    <r>
      <t>ตามสัญญาจ้างที่ปรึกษาเลขที่ 195/2567 
ได้ว่าจ้างที่ปรึกษาโครงการประเมินความ
เชื่อมั่นของประชาชนในพื้นที่จังหวัดชายแดน
ภาคใต้ที่มีต่อการอำนวยความยุติธรรมของ
กระทรวงยุติธรรม และแผนงานอำนวยความ
ยุติธรรมและเยียวยาผู้ได้รับผลกระทบ 
ประจำปีงบประมาณ พ.ศ.2567 งวดที่ 1</t>
    </r>
    <r>
      <rPr>
        <b/>
        <sz val="13"/>
        <color rgb="FFFF0000"/>
        <rFont val="Angsana New"/>
        <family val="1"/>
      </rPr>
      <t>งบประมาณทั้งสิ้น 1,200,00 บาท</t>
    </r>
    <r>
      <rPr>
        <sz val="13"/>
        <color theme="1"/>
        <rFont val="Angsana New"/>
        <family val="1"/>
      </rPr>
      <t xml:space="preserve"> </t>
    </r>
  </si>
  <si>
    <t>PR2-2567:47/11</t>
  </si>
  <si>
    <t>RV00021000067090336</t>
  </si>
  <si>
    <r>
      <t xml:space="preserve">ตามสัญญารับทุนอุดหนุนการวิจัยและ
นวัตกรรม เรื่อง การพัฒนารูปแบบการให้
ความช่วยเหลือเยียวยาฯ ไปสู่การพัฒนา
แบบเบ็ดเสร็จครบวงจร งวดที่ 4
</t>
    </r>
    <r>
      <rPr>
        <b/>
        <sz val="13"/>
        <color rgb="FFFF0000"/>
        <rFont val="Angsana New"/>
        <family val="1"/>
      </rPr>
      <t xml:space="preserve">งบประมาณทั้งสิ้น 800,000 บาท </t>
    </r>
  </si>
  <si>
    <t>PR2-2567:48/13</t>
  </si>
  <si>
    <t>RV00021000067090468</t>
  </si>
  <si>
    <r>
      <t xml:space="preserve">ตามสัญญาเลขที่ N32A670186 สัญญาให้
ทุนอุดหนุนการวิจัยและนวัตกรรม ภายใต้
งานวิจัยเรื่อง การสร้างสื่อการเรียนรู้แบบ
บูรณาการด้วยโมเดล IC3 เพื่อสงเสริมให้
เกิดการตระหนักรู้และแสดงการมีส่วนร่วม
อย่างเหมาะสมต่อการกลั่นแกล้งบนโลก
ออนไลน์ที่เกี่ยวข้องกับการแสดงความคิดเห็น
ทางการเมือง งวดที่ 2
</t>
    </r>
    <r>
      <rPr>
        <b/>
        <sz val="13"/>
        <color rgb="FFFF0000"/>
        <rFont val="Angsana New"/>
        <family val="1"/>
      </rPr>
      <t>งบประมาณทั้งสิ้น 465,000 บาท</t>
    </r>
  </si>
  <si>
    <t>PR2-2567:44/43</t>
  </si>
  <si>
    <t>RV00021000067090046</t>
  </si>
  <si>
    <r>
      <t xml:space="preserve">ตามข้อตกลงเลขที่ 66-E1-0929  ได้สนับสนุน
ทุนภายใต้โครงการ พัฒนาศักยภาพเครือข่าย
หมออนามัยเพื่อพัฒนาความรอบรู้ด้าน
สุขภาพ ในผู้ดื่มเครื่องดื่มแอลกอฮอล์ใน
ชุมชน งวดที่ 2
</t>
    </r>
    <r>
      <rPr>
        <b/>
        <sz val="13"/>
        <color rgb="FFFF0000"/>
        <rFont val="Angsana New"/>
        <family val="1"/>
      </rPr>
      <t>วงเงินงบประมาณทั้งสิ้น 9,888,000 บาท</t>
    </r>
  </si>
  <si>
    <t>PR2-2567:44/44</t>
  </si>
  <si>
    <t>RV00021000067090047</t>
  </si>
  <si>
    <t>สำนักงานกองทุนสนับสนุน
การสร้างเสริมสุขภาพ</t>
  </si>
  <si>
    <r>
      <t xml:space="preserve">ตามข้อตกลงเลขที่ 66-E1-0932 (รหัสโครงการ 
66-01079) สนับสนุนทุนภายใต้โครงการ 
พัฒนาเครือข่ายสถาบันการศึกษาวิชาชีพสาธารณสุขเพื่อการจัดการอุบัติเหตุทางถนน
ในชุมชน งวดที่ 2
</t>
    </r>
    <r>
      <rPr>
        <b/>
        <sz val="13"/>
        <color rgb="FFFF0000"/>
        <rFont val="Angsana New"/>
        <family val="1"/>
      </rPr>
      <t xml:space="preserve">วงเงินงบประมาณทั้งสิ้น 1,700,000 บาท </t>
    </r>
  </si>
  <si>
    <t>PR2-2567:19/16</t>
  </si>
  <si>
    <t>PR2-2567:44/42</t>
  </si>
  <si>
    <t>RV00021000067090045</t>
  </si>
  <si>
    <r>
      <t xml:space="preserve">ตามสัญญาเลขที่ N24A670226 สัญญาให้
ทุนอุดหนุนการวิจัยและนวัตกรรม ภายใต้
งานวิจัยเรื่อง อาหารเสริมไพรโบโอติกสำหรับ
ชันโรงอิตาม่าเพื่อส่งเสริมสุขภาพและลด
การล่มสลายของรังอันเนื่องมาจากการ
เปลี่ยนแปลงสภาพภูมิอากาศ งวดที่ 2
</t>
    </r>
    <r>
      <rPr>
        <b/>
        <sz val="13"/>
        <color rgb="FFFF0000"/>
        <rFont val="Angsana New"/>
        <family val="1"/>
      </rPr>
      <t>งบประมาณทั้งสิ้น 700,000 บาท</t>
    </r>
  </si>
  <si>
    <t>ดร.ทิพย์ทิวา สัมพันธมิตร</t>
  </si>
  <si>
    <r>
      <t xml:space="preserve">ตามสัญญาเลขที่ A11F670134 เงินสนับสนุน
ทุนโครงการ พัทลุงโมเดล การวิจัยและ
นวัตกรรมสังคมเพื่อแก้ไขปัญหาความ
ยากจนแบบเบ็ดเสร็จและแม่นยำ 
</t>
    </r>
    <r>
      <rPr>
        <b/>
        <u/>
        <sz val="13"/>
        <color theme="1"/>
        <rFont val="Angsana New"/>
        <family val="1"/>
      </rPr>
      <t>โครการย่อย ที่ 2</t>
    </r>
    <r>
      <rPr>
        <sz val="13"/>
        <color theme="1"/>
        <rFont val="Angsana New"/>
        <family val="1"/>
      </rPr>
      <t xml:space="preserve">  การยกระดับเศรษฐกิจ
ชุมชนด้วยโมเดลธุรกิจชุมชนเกื้อกูลตาม
ภูมินิเวศเขา-นา จังหวัดพัทลุง ปีที่ 2 งวดที่ 1
</t>
    </r>
    <r>
      <rPr>
        <b/>
        <sz val="13"/>
        <color rgb="FFFF0000"/>
        <rFont val="Angsana New"/>
        <family val="1"/>
      </rPr>
      <t>งบประมาณทั้งสิ้น 2,160,000 บาท</t>
    </r>
  </si>
  <si>
    <t>10/09/2567</t>
  </si>
  <si>
    <t>PR2-2567:45/22</t>
  </si>
  <si>
    <t>RV00021000067090142</t>
  </si>
  <si>
    <r>
      <t xml:space="preserve">ตามบันทึกความเข้าใจความร่วมมือ โครงการพัฒนาเครือข่ายสถาบันอุดมศึกษาเพื่อการ
วิจัยและพัมนาภาครัฐร่วมเอกชนในเชิง
พาณิชย์ ประจำปีงบประมาณ พ.ศ.2567 
ภายใต้โครงการ เรื่อง การประเมินศักยภาพ
ของวัสดุเหลือทิ้งอุตสาหกรรมแปรรูป
กล้วยน้ำว้าเพื่อใช้ประโยชน์ทางอุตสาหกรรม
เกษตร งวดที่ 1
</t>
    </r>
    <r>
      <rPr>
        <b/>
        <sz val="13"/>
        <color rgb="FFFF0000"/>
        <rFont val="Angsana New"/>
        <family val="1"/>
      </rPr>
      <t>งบประมาณทั้งสิ้น 120,000 บาท</t>
    </r>
  </si>
  <si>
    <t>PR2-2567:45/23</t>
  </si>
  <si>
    <t>RV00021000067090143</t>
  </si>
  <si>
    <r>
      <t xml:space="preserve">ตามสัญญารับทุนอุดหนุนการวิจัยและ
นวัตกรรม เรื่อง การถ่ายทอดเทคโนโลยีแอป
พลิเคชันหลักสูตรผู้สูงอายุศึกษาสำหรับ
เยาวชน 3 จังหวัดชายแดนภาคใต้ งวดที่ 3
</t>
    </r>
    <r>
      <rPr>
        <b/>
        <sz val="13"/>
        <color rgb="FFFF0000"/>
        <rFont val="Angsana New"/>
        <family val="1"/>
      </rPr>
      <t>งบประมาณทั้งสิ้น 450,000 บาท</t>
    </r>
  </si>
  <si>
    <t>12/09/2567</t>
  </si>
  <si>
    <t>PR2-2567:46/11</t>
  </si>
  <si>
    <t>RV00021000067090206</t>
  </si>
  <si>
    <r>
      <t xml:space="preserve">ตามสัญญาเลขที่ N24A670215 สัญญาให้
ทุนอุดหนุนการวิจัยและนวัตกรรม ภายใต้
งานวิจัยเรื่อง การพัฒนาสารเสริมอาหาร
สัตว์น้ำโดยการใช้วัสดุเศษเหลือจาก
กระบวนการผลิตปลาป่นเพื่อส่งเสริมการ
เจริญเติบโต อัตราการรอด และภูมิคุ้มกัน
ในการเลี้ยงปลาชะโอน งวดที่ 2
</t>
    </r>
    <r>
      <rPr>
        <b/>
        <sz val="13"/>
        <color rgb="FFFF0000"/>
        <rFont val="Angsana New"/>
        <family val="1"/>
      </rPr>
      <t xml:space="preserve">งบประมาณทั้งสิ้น 700,000 บาท </t>
    </r>
  </si>
  <si>
    <t>PR2-2567:46/32</t>
  </si>
  <si>
    <t>RV00021000067090275</t>
  </si>
  <si>
    <t xml:space="preserve">สำนักงานสภานโยบาย
การอุดมศึกษา 
วิทยาศาสตร์ วิจัยและ
นวัตกรรมแห่งชาติ </t>
  </si>
  <si>
    <r>
      <t xml:space="preserve">ตามสัญญาเลขที่ A13F670164 สัญญาให้
ทุนโครงการ ทะเลสาบสงขลา นิเวศสามน้ำ
การเรียนรู้ พัฒนาด้วยกลไกเมืองสร้าง
เศรษฐกิจสร้างสรรค์และยั่งยืน
</t>
    </r>
    <r>
      <rPr>
        <b/>
        <u/>
        <sz val="13"/>
        <color theme="1"/>
        <rFont val="Angsana New"/>
        <family val="1"/>
      </rPr>
      <t>โครงการวิจัยย่อยที่ 1</t>
    </r>
    <r>
      <rPr>
        <sz val="13"/>
        <color theme="1"/>
        <rFont val="Angsana New"/>
        <family val="1"/>
      </rPr>
      <t xml:space="preserve"> พัฒนารูปแบบและ
กลไกการจัดการทรัพยากรสัตว์น้ำเพื่อการ
เรียนรู้อย่างยั่งยืนของคนทุกช่วง งวดที่ 1
</t>
    </r>
    <r>
      <rPr>
        <b/>
        <sz val="13"/>
        <color rgb="FFFF0000"/>
        <rFont val="Angsana New"/>
        <family val="1"/>
      </rPr>
      <t>งบประมาณ 870,000 บาท</t>
    </r>
  </si>
  <si>
    <t>PR2-2567:48/17</t>
  </si>
  <si>
    <t>RV00021000067090497</t>
  </si>
  <si>
    <r>
      <t xml:space="preserve">ตามสัญญารับทุนอุดหนุนการวิจัยและ
นวัตกรรม เรื่อง ชุดการทอลองเคมีย่อส่วนร่วมกับแอปพลิเคชันเพื่อการเรียนรู้ เรื่อง 
สมดุลเคมี งวดที่ 3 - งวดที่ 5
</t>
    </r>
    <r>
      <rPr>
        <b/>
        <sz val="13"/>
        <color rgb="FFFF0000"/>
        <rFont val="Angsana New"/>
        <family val="1"/>
      </rPr>
      <t xml:space="preserve">งบประมาณทั้งสิ้น 450,000 บาท </t>
    </r>
  </si>
  <si>
    <t>ผศ.ดร.จินตนา กสินันท์</t>
  </si>
  <si>
    <r>
      <t xml:space="preserve">ตามสัญญาเลขที่ A13F670164 สัญญาให้ทุน
โครงการ ทะเลสาบสงขลา นิเวศสามน้ำ
การเรียนรู้ พัฒนาด้วยกลไกเมืองสร้าง
เศรษฐกิจสร้างสรรค์และยั่งยืน ภายใต้
แผนงานย่อย N23(S2P13) พัฒนาพื้นที่
นวัตกรรมการศึกษา และเมืองแห่งการเรียนรู้ 
(Learning City) งวดที่ 1 (งบกลาง)
</t>
    </r>
    <r>
      <rPr>
        <b/>
        <sz val="13"/>
        <color rgb="FFFF0000"/>
        <rFont val="Angsana New"/>
        <family val="1"/>
      </rPr>
      <t>งบประมาณทั้งสิ้น 2,900,000 บาท</t>
    </r>
    <r>
      <rPr>
        <sz val="13"/>
        <color theme="1"/>
        <rFont val="Angsana New"/>
        <family val="1"/>
      </rPr>
      <t xml:space="preserve">  
</t>
    </r>
    <r>
      <rPr>
        <b/>
        <u/>
        <sz val="13"/>
        <color rgb="FFFF0000"/>
        <rFont val="Angsana New"/>
        <family val="1"/>
      </rPr>
      <t xml:space="preserve">โครงการกลางงบประมาณ 1,160,000 บ. </t>
    </r>
  </si>
  <si>
    <t>PR2-2567:48/12</t>
  </si>
  <si>
    <t>RV00021000067090469</t>
  </si>
  <si>
    <r>
      <t xml:space="preserve">ตามสัญญาเลขที่ N32A670238 สัญญาให้
ทุนอุดหนุนการวิจัยและนวัตกรรม ภายใต้
งานวิจัยเรื่อง การพัฒนาภาวะผู้นำเชิง
นวัตกรรมของผู้บริหารสถานศึกษาเพื่อ
สร้างการเปลี่ยนแปลงของสถานศึกษาที่
ยึดโยงกับการจัดการศึกษาเชิงพื้นที่และ
ส่งเสริมคุณลักษณะผู้ร่วมสร้างสรรค์นวัตกรรม
ของผู้เรียนในพื้นที่นวัตกรรมการศึกษา
จังหวัดสงขลา งวดที่ 2
</t>
    </r>
    <r>
      <rPr>
        <b/>
        <sz val="13"/>
        <color rgb="FFFF0000"/>
        <rFont val="Angsana New"/>
        <family val="1"/>
      </rPr>
      <t xml:space="preserve">งบประมาณทั้งสิ้น 1,000,000 บาท </t>
    </r>
  </si>
  <si>
    <t>02/09/2567</t>
  </si>
  <si>
    <t>PL2-2567:5/29</t>
  </si>
  <si>
    <t>RV00021000067090007</t>
  </si>
  <si>
    <t>PL2-2567:6/11</t>
  </si>
  <si>
    <t>RV00021000067090471</t>
  </si>
  <si>
    <t>RV00021000067090480</t>
  </si>
  <si>
    <t>JV00021000067090155</t>
  </si>
  <si>
    <t>องค์กรปกครองส่วนท้องถิ่น
จำนวน 87 หน่วยงาน</t>
  </si>
  <si>
    <t>เทศบาลเมืองเขารูปช้าง
จังหวัดสงขลา</t>
  </si>
  <si>
    <t>ทุนอุดหนุนดำเนินการวิจัยแผนงานวิจัย เรื่อง 
สำรวจความพึงพอใจของประชาชนที่มีต่อ
ผลการดำเนินงานตามแผนยุทธศาสตร์การพัฒนาเทศบาลเมืองเขารูปช้าง 
ประจำปีงบประมาณ พ.ศ.2567</t>
  </si>
  <si>
    <t>รศ.ดร.รุ่งรวี จิตภักดี</t>
  </si>
  <si>
    <r>
      <t xml:space="preserve">ตามสัญญาเลขที่ A11F670134 เงินสนับสนุน
ทุนโครงการ พัทลุงโมเดล การวิจัยและ
นวัตกรรมสังคมเพื่อแก้ไขปัญหาความ
ยากจนแบบเบ็ดเสร็จและแม่นยำ
</t>
    </r>
    <r>
      <rPr>
        <b/>
        <u/>
        <sz val="13"/>
        <color theme="1"/>
        <rFont val="Angsana New"/>
        <family val="1"/>
      </rPr>
      <t>โครการย่อย ที่ 6</t>
    </r>
    <r>
      <rPr>
        <sz val="13"/>
        <color theme="1"/>
        <rFont val="Angsana New"/>
        <family val="1"/>
      </rPr>
      <t xml:space="preserve">  น้ำพุร้อนโอบสุข สร้าง
มูลค่าเครือข่ายท่องเที่ยวพัทลุงสู่มหานคร
แห่งสุขภาวะเพื่อยกระดับเศรษฐกิจจาก
รากสู่โลก งวดที่ 1
</t>
    </r>
    <r>
      <rPr>
        <b/>
        <sz val="13"/>
        <color rgb="FFFF0000"/>
        <rFont val="Angsana New"/>
        <family val="1"/>
      </rPr>
      <t>งบประมาณทั้งสิ้น 2,000,000 บาท</t>
    </r>
    <r>
      <rPr>
        <sz val="13"/>
        <color theme="1"/>
        <rFont val="Angsana New"/>
        <family val="1"/>
      </rPr>
      <t xml:space="preserve"> </t>
    </r>
  </si>
  <si>
    <r>
      <t xml:space="preserve">ตามสัญญาเลขที่ A11F670134 เงินสนับสนุน
ทุนโครงการ พัทลุงโมเดล การวิจัยและ
นวัตกรรมสังคมเพื่อแก้ไขปัญหาความ
ยากจนแบบเบ็ดเสร็จและแม่นยำ
</t>
    </r>
    <r>
      <rPr>
        <b/>
        <u/>
        <sz val="13"/>
        <color theme="1"/>
        <rFont val="Angsana New"/>
        <family val="1"/>
      </rPr>
      <t>โครการย่อย ที่ 7</t>
    </r>
    <r>
      <rPr>
        <sz val="13"/>
        <color theme="1"/>
        <rFont val="Angsana New"/>
        <family val="1"/>
      </rPr>
      <t xml:space="preserve">  ปลาดุกร้าแก้จนคน
เมืองลุง งวดที่ 1
</t>
    </r>
    <r>
      <rPr>
        <b/>
        <sz val="13"/>
        <color rgb="FFFF0000"/>
        <rFont val="Angsana New"/>
        <family val="1"/>
      </rPr>
      <t>งบประมาณทั้งสิ้น 1,270,000 บาท</t>
    </r>
    <r>
      <rPr>
        <sz val="13"/>
        <color theme="1"/>
        <rFont val="Angsana New"/>
        <family val="1"/>
      </rPr>
      <t xml:space="preserve"> </t>
    </r>
  </si>
  <si>
    <r>
      <t xml:space="preserve">ตามสัญญาเลขที่ A11F670068 สนับสนุน
ทุนโครงการ มวยไทยเมืองลุง : พลังเครือข่าย
แบบมีส่วนร่วมและการจัดการทุนวัฒนธรรม
เพื่อยกระดับเศรษฐกิจชุมชน งวดที่ 2
</t>
    </r>
    <r>
      <rPr>
        <b/>
        <sz val="13"/>
        <color rgb="FFFF0000"/>
        <rFont val="Angsana New"/>
        <family val="1"/>
      </rPr>
      <t>งบประมาณทั้งสิ้น 2,000,000 บาท</t>
    </r>
    <r>
      <rPr>
        <sz val="13"/>
        <color theme="1"/>
        <rFont val="Angsana New"/>
        <family val="1"/>
      </rPr>
      <t xml:space="preserve">
</t>
    </r>
    <r>
      <rPr>
        <b/>
        <u/>
        <sz val="13"/>
        <color rgb="FF0000CC"/>
        <rFont val="Angsana New"/>
        <family val="1"/>
      </rPr>
      <t>หมายเหตุ : มีการปรับลดวงเงินเหลือ 
171,000.00 บ. ภายใต้โครงการย่อย : 
การสร้างเครือข่ายนานาชาติและ
การพัฒนากลไกการตลาดมวยไทย
เมืองลุงสู่ตลาดโลก ณ กรุงโตเกียว 
ประเทศญี่ปุ่น</t>
    </r>
  </si>
  <si>
    <r>
      <t xml:space="preserve">ตามสัญญาเลขที่ A11F670134 เงินสนับสนุน
ทุนโครงการ พัทลุงโมเดล การวิจัยและ
นวัตกรรมสังคมเพื่อแก้ไขปัญหาความ
ยากจนแบบเบ็ดเสร็จและแม่นยำ 
</t>
    </r>
    <r>
      <rPr>
        <b/>
        <sz val="13"/>
        <color rgb="FFFF0000"/>
        <rFont val="Angsana New"/>
        <family val="1"/>
      </rPr>
      <t>งบประมาณทั้งสิ้น 19,000,000 บาท</t>
    </r>
    <r>
      <rPr>
        <sz val="13"/>
        <color theme="1"/>
        <rFont val="Angsana New"/>
        <family val="1"/>
      </rPr>
      <t xml:space="preserve">
</t>
    </r>
    <r>
      <rPr>
        <b/>
        <u/>
        <sz val="13"/>
        <color theme="1"/>
        <rFont val="Angsana New"/>
        <family val="1"/>
      </rPr>
      <t>โครงการหลัก</t>
    </r>
    <r>
      <rPr>
        <b/>
        <sz val="13"/>
        <color theme="1"/>
        <rFont val="Angsana New"/>
        <family val="1"/>
      </rPr>
      <t xml:space="preserve"> </t>
    </r>
    <r>
      <rPr>
        <sz val="13"/>
        <color theme="1"/>
        <rFont val="Angsana New"/>
        <family val="1"/>
      </rPr>
      <t xml:space="preserve">ภายใต้ผ่นงานย่อย F9 
(S2P11) ขจัดความยากจนและลดความ
เหลื่อมล้ำ โดยการเพิ่มโอกาสและลด
ช่องว่างของการเข้าถึงการพัฒนาอาชีพ การศึกษาเรียนรู้ เทคโนโลยีและนวัตกรรม 
งวดที่ 1 (งบบริหาร) 
</t>
    </r>
    <r>
      <rPr>
        <b/>
        <sz val="13"/>
        <color rgb="FFFF0000"/>
        <rFont val="Angsana New"/>
        <family val="1"/>
      </rPr>
      <t xml:space="preserve">งบประมาณบริหาร วงเงิน 7,300,000 บ. </t>
    </r>
  </si>
  <si>
    <t>PR2-2567:46/10</t>
  </si>
  <si>
    <t>RV00021000067090205</t>
  </si>
  <si>
    <r>
      <t xml:space="preserve">ตามสัญญาเลขที่ A11F670068 สนับสนุน
ทุนโครงการ มวยไทยเมืองลุง : พลังเครือข่าย
แบบมีส่วนร่วมและการจัดการทุนวัฒนธรรม
เพื่อยกระดับเศรษฐกิจชุมชน งวดที่ 4
</t>
    </r>
    <r>
      <rPr>
        <b/>
        <sz val="13"/>
        <color rgb="FFFF0000"/>
        <rFont val="Angsana New"/>
        <family val="1"/>
      </rPr>
      <t>งบประมาณทั้งสิ้น 2,000,000 บาท</t>
    </r>
    <r>
      <rPr>
        <sz val="13"/>
        <color theme="1"/>
        <rFont val="Angsana New"/>
        <family val="1"/>
      </rPr>
      <t xml:space="preserve">
</t>
    </r>
    <r>
      <rPr>
        <b/>
        <u/>
        <sz val="13"/>
        <color rgb="FF0000CC"/>
        <rFont val="Angsana New"/>
        <family val="1"/>
      </rPr>
      <t>หมายเหตุ : เงินงบประมาณ 200,000 บ. ภายใต้โครงการย่อย : การสร้างเครือข่ายนานาชาติและการพัฒนากลไกการตลาดมวยไทยเมืองลุงสู่ตลาดโลก ณ สถานเอกอัครราชทูตไทย ณ สิงคโปร์</t>
    </r>
  </si>
  <si>
    <r>
      <t xml:space="preserve">ตามสัญญาเลขที่ A13F670164 สัญญาให้
ทุนโครงการ ทะเลสาบสงขลา นิเวศสามน้ำ
การเรียนรู้ พัฒนาด้วยกลไกเมืองสร้าง
เศรษฐกิจสร้างสรรค์และยั่งยืน
</t>
    </r>
    <r>
      <rPr>
        <b/>
        <u/>
        <sz val="13"/>
        <color theme="1"/>
        <rFont val="Angsana New"/>
        <family val="1"/>
      </rPr>
      <t>โครงการวิจัยย่อยที่ 2</t>
    </r>
    <r>
      <rPr>
        <sz val="13"/>
        <color theme="1"/>
        <rFont val="Angsana New"/>
        <family val="1"/>
      </rPr>
      <t xml:space="preserve"> การจัดการเมือง
ทะเลสาบสงขลาด้วยตลาดชุมชนและ
การท่องเที่ยวชุมชนจากฐานเมืองเพื่อ
ยกระดับคุณภาพชีวิตและเศรษฐกิจเกื้อกูล 
งวดที่ 1
</t>
    </r>
    <r>
      <rPr>
        <b/>
        <sz val="13"/>
        <color rgb="FFFF0000"/>
        <rFont val="Angsana New"/>
        <family val="1"/>
      </rPr>
      <t>งบประมาณ 870,000 บาท</t>
    </r>
    <r>
      <rPr>
        <sz val="13"/>
        <color theme="1"/>
        <rFont val="Angsana New"/>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</si>
</sst>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87" formatCode="dd/mm/yyyy"/>
    <numFmt numFmtId="188" formatCode="#,##0.00_ ;\-#,##0.00\ "/>
  </numFmts>
  <fonts count="72" x14ac:knownFonts="1">
    <font>
      <sz val="11"/>
      <color theme="1"/>
      <name val="Tahoma"/>
      <family val="2"/>
      <charset val="222"/>
      <scheme val="minor"/>
    </font>
    <font>
      <sz val="11"/>
      <color theme="1"/>
      <name val="Tahoma"/>
      <family val="2"/>
      <charset val="222"/>
      <scheme val="minor"/>
    </font>
    <font>
      <b/>
      <sz val="14"/>
      <color theme="1"/>
      <name val="Angsana New"/>
      <family val="1"/>
    </font>
    <font>
      <sz val="14"/>
      <color theme="1"/>
      <name val="Angsana New"/>
      <family val="1"/>
    </font>
    <font>
      <b/>
      <sz val="14"/>
      <name val="Angsana New"/>
      <family val="1"/>
    </font>
    <font>
      <sz val="14"/>
      <color rgb="FFFF0000"/>
      <name val="Angsana New"/>
      <family val="1"/>
    </font>
    <font>
      <b/>
      <sz val="9"/>
      <color indexed="81"/>
      <name val="Tahoma"/>
      <family val="2"/>
    </font>
    <font>
      <sz val="9"/>
      <color indexed="81"/>
      <name val="Tahoma"/>
      <family val="2"/>
    </font>
    <font>
      <b/>
      <sz val="13.5"/>
      <color theme="1"/>
      <name val="Angsana New"/>
      <family val="1"/>
    </font>
    <font>
      <sz val="13.5"/>
      <color theme="1"/>
      <name val="Angsana New"/>
      <family val="1"/>
    </font>
    <font>
      <b/>
      <sz val="13.5"/>
      <name val="Angsana New"/>
      <family val="1"/>
    </font>
    <font>
      <b/>
      <sz val="13.5"/>
      <color rgb="FF0000CC"/>
      <name val="Angsana New"/>
      <family val="1"/>
    </font>
    <font>
      <b/>
      <sz val="13.5"/>
      <color rgb="FFFF0000"/>
      <name val="Angsana New"/>
      <family val="1"/>
    </font>
    <font>
      <sz val="13.5"/>
      <color rgb="FFFF0000"/>
      <name val="Angsana New"/>
      <family val="1"/>
    </font>
    <font>
      <b/>
      <sz val="14.5"/>
      <color theme="1"/>
      <name val="TH SarabunPSK"/>
      <family val="2"/>
    </font>
    <font>
      <sz val="13"/>
      <color theme="1"/>
      <name val="TH SarabunPSK"/>
      <family val="2"/>
    </font>
    <font>
      <b/>
      <sz val="13"/>
      <color theme="1"/>
      <name val="TH SarabunPSK"/>
      <family val="2"/>
    </font>
    <font>
      <sz val="10"/>
      <name val="Arial"/>
      <family val="2"/>
    </font>
    <font>
      <b/>
      <sz val="13"/>
      <color rgb="FF000000"/>
      <name val="TH SarabunPSK"/>
      <family val="2"/>
    </font>
    <font>
      <b/>
      <u/>
      <sz val="13"/>
      <color theme="1"/>
      <name val="TH SarabunPSK"/>
      <family val="2"/>
    </font>
    <font>
      <b/>
      <sz val="13"/>
      <name val="TH SarabunPSK"/>
      <family val="2"/>
    </font>
    <font>
      <sz val="13"/>
      <color theme="1"/>
      <name val="Wingdings 2"/>
      <family val="1"/>
      <charset val="2"/>
    </font>
    <font>
      <sz val="14.5"/>
      <color theme="1"/>
      <name val="TH SarabunPSK"/>
      <family val="2"/>
    </font>
    <font>
      <b/>
      <sz val="18"/>
      <name val="Angsana New"/>
      <family val="1"/>
    </font>
    <font>
      <sz val="14"/>
      <name val="Angsana New"/>
      <family val="1"/>
    </font>
    <font>
      <b/>
      <sz val="14.5"/>
      <color theme="1"/>
      <name val="Cordia New"/>
      <family val="2"/>
    </font>
    <font>
      <sz val="13"/>
      <color theme="1"/>
      <name val="Cordia New"/>
      <family val="2"/>
    </font>
    <font>
      <b/>
      <sz val="13"/>
      <color theme="1"/>
      <name val="Cordia New"/>
      <family val="2"/>
    </font>
    <font>
      <b/>
      <sz val="13"/>
      <color rgb="FF000000"/>
      <name val="Cordia New"/>
      <family val="2"/>
    </font>
    <font>
      <b/>
      <u/>
      <sz val="13"/>
      <color theme="1"/>
      <name val="Cordia New"/>
      <family val="2"/>
    </font>
    <font>
      <b/>
      <sz val="13"/>
      <name val="Cordia New"/>
      <family val="2"/>
    </font>
    <font>
      <b/>
      <sz val="13"/>
      <color rgb="FFFF0000"/>
      <name val="Cordia New"/>
      <family val="2"/>
    </font>
    <font>
      <sz val="14.5"/>
      <color theme="1"/>
      <name val="Cordia New"/>
      <family val="2"/>
    </font>
    <font>
      <b/>
      <sz val="13"/>
      <color rgb="FF0000CC"/>
      <name val="Cordia New"/>
      <family val="2"/>
    </font>
    <font>
      <b/>
      <u/>
      <sz val="13"/>
      <color rgb="FFFF0000"/>
      <name val="Cordia New"/>
      <family val="2"/>
    </font>
    <font>
      <sz val="13"/>
      <name val="Cordia New"/>
      <family val="2"/>
    </font>
    <font>
      <sz val="10"/>
      <color indexed="8"/>
      <name val="Arial"/>
      <family val="2"/>
    </font>
    <font>
      <sz val="13"/>
      <color indexed="8"/>
      <name val="TH SarabunPSK"/>
      <family val="2"/>
    </font>
    <font>
      <b/>
      <sz val="13"/>
      <color indexed="8"/>
      <name val="TH SarabunPSK"/>
      <family val="2"/>
    </font>
    <font>
      <b/>
      <sz val="16"/>
      <color theme="1"/>
      <name val="Angsana New"/>
      <family val="1"/>
    </font>
    <font>
      <b/>
      <sz val="14"/>
      <color rgb="FF000000"/>
      <name val="Angsana New"/>
      <family val="1"/>
    </font>
    <font>
      <b/>
      <sz val="12"/>
      <color theme="1"/>
      <name val="Angsana New"/>
      <family val="1"/>
    </font>
    <font>
      <b/>
      <u/>
      <sz val="12"/>
      <color indexed="8"/>
      <name val="Angsana New"/>
      <family val="1"/>
    </font>
    <font>
      <b/>
      <sz val="12"/>
      <color indexed="8"/>
      <name val="Angsana New"/>
      <family val="1"/>
    </font>
    <font>
      <sz val="16"/>
      <color theme="1"/>
      <name val="Angsana New"/>
      <family val="1"/>
    </font>
    <font>
      <b/>
      <sz val="14.5"/>
      <color theme="1"/>
      <name val="Angsana New"/>
      <family val="1"/>
    </font>
    <font>
      <sz val="13"/>
      <color theme="1"/>
      <name val="Angsana New"/>
      <family val="1"/>
    </font>
    <font>
      <b/>
      <sz val="13"/>
      <color theme="1"/>
      <name val="Angsana New"/>
      <family val="1"/>
    </font>
    <font>
      <b/>
      <sz val="13"/>
      <color rgb="FF000000"/>
      <name val="Angsana New"/>
      <family val="1"/>
    </font>
    <font>
      <b/>
      <u/>
      <sz val="13"/>
      <color indexed="8"/>
      <name val="Angsana New"/>
      <family val="1"/>
    </font>
    <font>
      <b/>
      <sz val="13"/>
      <color indexed="8"/>
      <name val="Angsana New"/>
      <family val="1"/>
    </font>
    <font>
      <b/>
      <sz val="13"/>
      <color indexed="10"/>
      <name val="Angsana New"/>
      <family val="1"/>
    </font>
    <font>
      <b/>
      <sz val="13"/>
      <color rgb="FFFF0000"/>
      <name val="Angsana New"/>
      <family val="1"/>
    </font>
    <font>
      <sz val="13"/>
      <color indexed="8"/>
      <name val="Angsana New"/>
      <family val="1"/>
    </font>
    <font>
      <b/>
      <sz val="13"/>
      <name val="Angsana New"/>
      <family val="1"/>
    </font>
    <font>
      <sz val="13"/>
      <color indexed="10"/>
      <name val="Angsana New"/>
      <family val="1"/>
    </font>
    <font>
      <b/>
      <sz val="13"/>
      <color indexed="12"/>
      <name val="Angsana New"/>
      <family val="1"/>
    </font>
    <font>
      <sz val="14.5"/>
      <color theme="1"/>
      <name val="Angsana New"/>
      <family val="1"/>
    </font>
    <font>
      <sz val="13"/>
      <name val="Angsana New"/>
      <family val="1"/>
    </font>
    <font>
      <b/>
      <u/>
      <sz val="13"/>
      <name val="Angsana New"/>
      <family val="1"/>
    </font>
    <font>
      <b/>
      <sz val="11"/>
      <color rgb="FF000000"/>
      <name val="Angsana New"/>
      <family val="1"/>
    </font>
    <font>
      <b/>
      <i/>
      <sz val="13"/>
      <color indexed="8"/>
      <name val="Angsana New"/>
      <family val="1"/>
    </font>
    <font>
      <b/>
      <sz val="16"/>
      <name val="Angsana New"/>
      <family val="1"/>
    </font>
    <font>
      <sz val="16"/>
      <name val="Angsana New"/>
      <family val="1"/>
    </font>
    <font>
      <sz val="12"/>
      <color theme="1"/>
      <name val="Angsana New"/>
      <family val="1"/>
    </font>
    <font>
      <b/>
      <u/>
      <sz val="13"/>
      <color theme="1"/>
      <name val="Angsana New"/>
      <family val="1"/>
    </font>
    <font>
      <b/>
      <sz val="13"/>
      <color rgb="FF0000CC"/>
      <name val="Angsana New"/>
      <family val="1"/>
    </font>
    <font>
      <sz val="13"/>
      <color rgb="FFFF0000"/>
      <name val="Cordia New"/>
      <family val="2"/>
    </font>
    <font>
      <b/>
      <sz val="10"/>
      <color rgb="FFFF0000"/>
      <name val="Angsana New"/>
      <family val="1"/>
    </font>
    <font>
      <sz val="10"/>
      <color theme="1"/>
      <name val="Angsana New"/>
      <family val="1"/>
    </font>
    <font>
      <b/>
      <u/>
      <sz val="13"/>
      <color rgb="FFFF0000"/>
      <name val="Angsana New"/>
      <family val="1"/>
    </font>
    <font>
      <b/>
      <u/>
      <sz val="13"/>
      <color rgb="FF0000CC"/>
      <name val="Angsana New"/>
      <family val="1"/>
    </font>
  </fonts>
  <fills count="24">
    <fill>
      <patternFill patternType="none"/>
    </fill>
    <fill>
      <patternFill patternType="gray125"/>
    </fill>
    <fill>
      <patternFill patternType="solid">
        <fgColor theme="6" tint="0.79998168889431442"/>
        <bgColor indexed="64"/>
      </patternFill>
    </fill>
    <fill>
      <patternFill patternType="solid">
        <fgColor rgb="FF0070C0"/>
        <bgColor indexed="64"/>
      </patternFill>
    </fill>
    <fill>
      <patternFill patternType="solid">
        <fgColor rgb="FFFFCCFF"/>
        <bgColor indexed="64"/>
      </patternFill>
    </fill>
    <fill>
      <patternFill patternType="solid">
        <fgColor rgb="FF7030A0"/>
        <bgColor indexed="64"/>
      </patternFill>
    </fill>
    <fill>
      <patternFill patternType="solid">
        <fgColor rgb="FF0000CC"/>
        <bgColor indexed="64"/>
      </patternFill>
    </fill>
    <fill>
      <patternFill patternType="solid">
        <fgColor rgb="FF99FFCC"/>
        <bgColor indexed="64"/>
      </patternFill>
    </fill>
    <fill>
      <patternFill patternType="solid">
        <fgColor rgb="FFCCFFFF"/>
        <bgColor indexed="64"/>
      </patternFill>
    </fill>
    <fill>
      <patternFill patternType="solid">
        <fgColor theme="9" tint="0.79998168889431442"/>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CC"/>
        <bgColor indexed="64"/>
      </patternFill>
    </fill>
    <fill>
      <patternFill patternType="solid">
        <fgColor theme="0" tint="-0.249977111117893"/>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0" fontId="17" fillId="0" borderId="0"/>
    <xf numFmtId="0" fontId="36" fillId="0" borderId="0">
      <alignment vertical="top"/>
    </xf>
  </cellStyleXfs>
  <cellXfs count="657">
    <xf numFmtId="0" fontId="0" fillId="0" borderId="0" xfId="0"/>
    <xf numFmtId="0" fontId="3" fillId="0" borderId="0" xfId="0" applyFont="1"/>
    <xf numFmtId="0" fontId="3" fillId="0" borderId="0" xfId="0" applyFont="1" applyAlignment="1">
      <alignment horizontal="center"/>
    </xf>
    <xf numFmtId="43" fontId="3" fillId="0" borderId="0" xfId="1" applyFont="1"/>
    <xf numFmtId="0" fontId="2" fillId="0" borderId="0" xfId="0" applyFont="1" applyAlignment="1">
      <alignment horizontal="left"/>
    </xf>
    <xf numFmtId="0" fontId="3" fillId="0" borderId="0" xfId="0" applyFont="1" applyAlignment="1">
      <alignment horizontal="left"/>
    </xf>
    <xf numFmtId="0" fontId="8" fillId="0" borderId="1" xfId="0" applyFont="1" applyBorder="1" applyAlignment="1"/>
    <xf numFmtId="0" fontId="8" fillId="0" borderId="1" xfId="0" applyFont="1" applyBorder="1" applyAlignment="1">
      <alignment shrinkToFit="1"/>
    </xf>
    <xf numFmtId="0" fontId="9" fillId="0" borderId="0" xfId="0" applyFont="1"/>
    <xf numFmtId="43" fontId="8" fillId="3" borderId="2" xfId="1" applyFont="1" applyFill="1" applyBorder="1" applyAlignment="1">
      <alignment horizontal="center" vertical="center"/>
    </xf>
    <xf numFmtId="43" fontId="8" fillId="5" borderId="2" xfId="1" applyFont="1" applyFill="1" applyBorder="1" applyAlignment="1">
      <alignment horizontal="center"/>
    </xf>
    <xf numFmtId="0" fontId="8" fillId="6" borderId="2" xfId="0" applyFont="1" applyFill="1" applyBorder="1" applyAlignment="1">
      <alignment horizontal="center"/>
    </xf>
    <xf numFmtId="0" fontId="8" fillId="0" borderId="0" xfId="0" applyFont="1"/>
    <xf numFmtId="43" fontId="8" fillId="5" borderId="2" xfId="1" applyFont="1" applyFill="1" applyBorder="1" applyAlignment="1">
      <alignment horizontal="center" vertical="center" wrapText="1" shrinkToFit="1"/>
    </xf>
    <xf numFmtId="43" fontId="8" fillId="6" borderId="12" xfId="1" applyFont="1" applyFill="1" applyBorder="1" applyAlignment="1">
      <alignment horizontal="center"/>
    </xf>
    <xf numFmtId="43" fontId="8" fillId="4" borderId="6" xfId="1" applyFont="1" applyFill="1" applyBorder="1" applyAlignment="1">
      <alignment vertical="center" shrinkToFit="1"/>
    </xf>
    <xf numFmtId="43" fontId="8" fillId="5" borderId="2" xfId="1" applyFont="1" applyFill="1" applyBorder="1" applyAlignment="1">
      <alignment horizontal="center" vertical="center" shrinkToFit="1"/>
    </xf>
    <xf numFmtId="43" fontId="8" fillId="8" borderId="2" xfId="1" applyFont="1" applyFill="1" applyBorder="1" applyAlignment="1">
      <alignment horizontal="center" shrinkToFit="1"/>
    </xf>
    <xf numFmtId="43" fontId="8" fillId="8" borderId="2" xfId="1" applyFont="1" applyFill="1" applyBorder="1" applyAlignment="1">
      <alignment horizontal="center"/>
    </xf>
    <xf numFmtId="43" fontId="10" fillId="9" borderId="2" xfId="1" applyFont="1" applyFill="1" applyBorder="1" applyAlignment="1">
      <alignment horizontal="center" shrinkToFit="1"/>
    </xf>
    <xf numFmtId="43" fontId="10" fillId="9" borderId="2" xfId="1" applyFont="1" applyFill="1" applyBorder="1" applyAlignment="1">
      <alignment horizontal="center"/>
    </xf>
    <xf numFmtId="43" fontId="10" fillId="10" borderId="2" xfId="1" applyFont="1" applyFill="1" applyBorder="1" applyAlignment="1">
      <alignment horizontal="center" shrinkToFit="1"/>
    </xf>
    <xf numFmtId="43" fontId="8" fillId="10" borderId="2" xfId="1" applyFont="1" applyFill="1" applyBorder="1" applyAlignment="1">
      <alignment horizontal="center"/>
    </xf>
    <xf numFmtId="43" fontId="8" fillId="6" borderId="6" xfId="1" applyFont="1" applyFill="1" applyBorder="1" applyAlignment="1">
      <alignment horizontal="center"/>
    </xf>
    <xf numFmtId="14" fontId="8" fillId="0" borderId="9" xfId="0" applyNumberFormat="1" applyFont="1" applyBorder="1" applyAlignment="1">
      <alignment horizontal="center" vertical="center"/>
    </xf>
    <xf numFmtId="43" fontId="8" fillId="0" borderId="9" xfId="1" applyFont="1" applyBorder="1" applyAlignment="1">
      <alignment horizontal="center" vertical="center"/>
    </xf>
    <xf numFmtId="0" fontId="8" fillId="0" borderId="9" xfId="0" applyFont="1" applyBorder="1" applyAlignment="1">
      <alignment horizontal="center" vertical="center"/>
    </xf>
    <xf numFmtId="43" fontId="8" fillId="0" borderId="9" xfId="1" applyFont="1" applyBorder="1" applyAlignment="1">
      <alignment horizontal="center"/>
    </xf>
    <xf numFmtId="0" fontId="8" fillId="0" borderId="9" xfId="0" applyFont="1" applyBorder="1" applyAlignment="1">
      <alignment vertical="center"/>
    </xf>
    <xf numFmtId="43" fontId="8" fillId="3" borderId="9" xfId="1" applyFont="1" applyFill="1" applyBorder="1" applyAlignment="1">
      <alignment horizontal="center"/>
    </xf>
    <xf numFmtId="43" fontId="8" fillId="0" borderId="9" xfId="1" applyFont="1" applyFill="1" applyBorder="1" applyAlignment="1">
      <alignment horizontal="center"/>
    </xf>
    <xf numFmtId="43" fontId="8" fillId="5" borderId="9" xfId="1" applyFont="1" applyFill="1" applyBorder="1" applyAlignment="1">
      <alignment horizontal="center"/>
    </xf>
    <xf numFmtId="49" fontId="9" fillId="0" borderId="9" xfId="1" applyNumberFormat="1" applyFont="1" applyFill="1" applyBorder="1" applyAlignment="1">
      <alignment horizontal="center" shrinkToFit="1"/>
    </xf>
    <xf numFmtId="43" fontId="9" fillId="0" borderId="9" xfId="1" applyFont="1" applyFill="1" applyBorder="1" applyAlignment="1">
      <alignment horizontal="center"/>
    </xf>
    <xf numFmtId="49" fontId="8" fillId="0" borderId="9" xfId="1" applyNumberFormat="1" applyFont="1" applyFill="1" applyBorder="1" applyAlignment="1">
      <alignment horizontal="center" shrinkToFit="1"/>
    </xf>
    <xf numFmtId="43" fontId="8" fillId="6" borderId="9" xfId="1" applyFont="1" applyFill="1" applyBorder="1" applyAlignment="1">
      <alignment horizontal="center"/>
    </xf>
    <xf numFmtId="43" fontId="9" fillId="0" borderId="9" xfId="0" applyNumberFormat="1" applyFont="1" applyFill="1" applyBorder="1"/>
    <xf numFmtId="14" fontId="9" fillId="0" borderId="9" xfId="0" applyNumberFormat="1" applyFont="1" applyBorder="1" applyAlignment="1">
      <alignment horizontal="center" vertical="top"/>
    </xf>
    <xf numFmtId="14" fontId="9" fillId="0" borderId="9" xfId="0" applyNumberFormat="1" applyFont="1" applyBorder="1" applyAlignment="1">
      <alignment vertical="top"/>
    </xf>
    <xf numFmtId="14" fontId="9" fillId="0" borderId="9" xfId="0" applyNumberFormat="1" applyFont="1" applyBorder="1" applyAlignment="1">
      <alignment vertical="top" wrapText="1"/>
    </xf>
    <xf numFmtId="43" fontId="9" fillId="0" borderId="9" xfId="1" applyFont="1" applyBorder="1" applyAlignment="1">
      <alignment horizontal="left" vertical="top"/>
    </xf>
    <xf numFmtId="0" fontId="9" fillId="0" borderId="9" xfId="0" applyFont="1" applyBorder="1" applyAlignment="1">
      <alignment horizontal="center" vertical="top"/>
    </xf>
    <xf numFmtId="43" fontId="9" fillId="0" borderId="9" xfId="1" applyFont="1" applyBorder="1" applyAlignment="1">
      <alignment horizontal="center" vertical="top"/>
    </xf>
    <xf numFmtId="0" fontId="9" fillId="0" borderId="9" xfId="0" applyFont="1" applyBorder="1" applyAlignment="1">
      <alignment vertical="top" shrinkToFit="1"/>
    </xf>
    <xf numFmtId="43" fontId="9" fillId="3" borderId="9" xfId="1" applyFont="1" applyFill="1" applyBorder="1" applyAlignment="1">
      <alignment horizontal="center" vertical="top"/>
    </xf>
    <xf numFmtId="43" fontId="9" fillId="0" borderId="9" xfId="1" applyFont="1" applyFill="1" applyBorder="1" applyAlignment="1">
      <alignment horizontal="center" vertical="top"/>
    </xf>
    <xf numFmtId="43" fontId="9" fillId="5" borderId="9" xfId="1" applyFont="1" applyFill="1" applyBorder="1" applyAlignment="1">
      <alignment horizontal="center" vertical="top"/>
    </xf>
    <xf numFmtId="49" fontId="9" fillId="0" borderId="8" xfId="1" applyNumberFormat="1" applyFont="1" applyFill="1" applyBorder="1" applyAlignment="1">
      <alignment horizontal="center" vertical="top" shrinkToFit="1"/>
    </xf>
    <xf numFmtId="43" fontId="9" fillId="0" borderId="8" xfId="1" applyFont="1" applyFill="1" applyBorder="1" applyAlignment="1">
      <alignment horizontal="center" vertical="top"/>
    </xf>
    <xf numFmtId="49" fontId="9" fillId="0" borderId="9" xfId="1" applyNumberFormat="1" applyFont="1" applyFill="1" applyBorder="1" applyAlignment="1">
      <alignment horizontal="center" vertical="top" shrinkToFit="1"/>
    </xf>
    <xf numFmtId="43" fontId="9" fillId="6" borderId="9" xfId="1" applyFont="1" applyFill="1" applyBorder="1" applyAlignment="1">
      <alignment horizontal="center" vertical="top"/>
    </xf>
    <xf numFmtId="43" fontId="9" fillId="0" borderId="8" xfId="0" applyNumberFormat="1" applyFont="1" applyFill="1" applyBorder="1" applyAlignment="1">
      <alignment vertical="top"/>
    </xf>
    <xf numFmtId="0" fontId="9" fillId="0" borderId="0" xfId="0" applyFont="1" applyAlignment="1">
      <alignment vertical="top"/>
    </xf>
    <xf numFmtId="0" fontId="9" fillId="0" borderId="9" xfId="0" applyFont="1" applyBorder="1" applyAlignment="1">
      <alignment vertical="top"/>
    </xf>
    <xf numFmtId="14" fontId="11" fillId="0" borderId="9" xfId="0" applyNumberFormat="1" applyFont="1" applyBorder="1" applyAlignment="1">
      <alignment horizontal="center" vertical="top"/>
    </xf>
    <xf numFmtId="14" fontId="11" fillId="0" borderId="9" xfId="0" applyNumberFormat="1" applyFont="1" applyBorder="1" applyAlignment="1">
      <alignment vertical="top"/>
    </xf>
    <xf numFmtId="14" fontId="11" fillId="0" borderId="9" xfId="0" applyNumberFormat="1" applyFont="1" applyBorder="1" applyAlignment="1">
      <alignment vertical="top" wrapText="1"/>
    </xf>
    <xf numFmtId="43" fontId="11" fillId="0" borderId="9" xfId="1" applyFont="1" applyBorder="1" applyAlignment="1">
      <alignment horizontal="left" vertical="top"/>
    </xf>
    <xf numFmtId="0" fontId="11" fillId="0" borderId="9" xfId="0" applyFont="1" applyBorder="1" applyAlignment="1">
      <alignment horizontal="left" vertical="top"/>
    </xf>
    <xf numFmtId="43" fontId="11" fillId="0" borderId="9" xfId="1" applyFont="1" applyBorder="1" applyAlignment="1">
      <alignment horizontal="center" vertical="top"/>
    </xf>
    <xf numFmtId="0" fontId="11" fillId="0" borderId="9" xfId="0" applyFont="1" applyBorder="1" applyAlignment="1">
      <alignment vertical="top"/>
    </xf>
    <xf numFmtId="43" fontId="11" fillId="3" borderId="9" xfId="1" applyFont="1" applyFill="1" applyBorder="1" applyAlignment="1">
      <alignment horizontal="center" vertical="top"/>
    </xf>
    <xf numFmtId="43" fontId="11" fillId="0" borderId="9" xfId="1" applyFont="1" applyFill="1" applyBorder="1" applyAlignment="1">
      <alignment horizontal="center" vertical="top"/>
    </xf>
    <xf numFmtId="43" fontId="11" fillId="5" borderId="9" xfId="1" applyFont="1" applyFill="1" applyBorder="1" applyAlignment="1">
      <alignment horizontal="center" vertical="top"/>
    </xf>
    <xf numFmtId="49" fontId="11" fillId="0" borderId="8" xfId="1" applyNumberFormat="1" applyFont="1" applyFill="1" applyBorder="1" applyAlignment="1">
      <alignment horizontal="center" vertical="top" shrinkToFit="1"/>
    </xf>
    <xf numFmtId="43" fontId="11" fillId="0" borderId="8" xfId="1" applyFont="1" applyFill="1" applyBorder="1" applyAlignment="1">
      <alignment horizontal="center" vertical="top"/>
    </xf>
    <xf numFmtId="49" fontId="11" fillId="0" borderId="9" xfId="1" applyNumberFormat="1" applyFont="1" applyFill="1" applyBorder="1" applyAlignment="1">
      <alignment horizontal="center" vertical="top" shrinkToFit="1"/>
    </xf>
    <xf numFmtId="43" fontId="11" fillId="6" borderId="9" xfId="1" applyFont="1" applyFill="1" applyBorder="1" applyAlignment="1">
      <alignment horizontal="center" vertical="top"/>
    </xf>
    <xf numFmtId="43" fontId="11" fillId="0" borderId="8" xfId="0" applyNumberFormat="1" applyFont="1" applyFill="1" applyBorder="1" applyAlignment="1">
      <alignment vertical="top"/>
    </xf>
    <xf numFmtId="0" fontId="11" fillId="0" borderId="0" xfId="0" applyFont="1" applyAlignment="1">
      <alignment vertical="top"/>
    </xf>
    <xf numFmtId="14" fontId="9" fillId="0" borderId="9" xfId="0" applyNumberFormat="1" applyFont="1" applyBorder="1" applyAlignment="1">
      <alignment horizontal="center" vertical="center"/>
    </xf>
    <xf numFmtId="14" fontId="9" fillId="0" borderId="9" xfId="0" applyNumberFormat="1" applyFont="1" applyBorder="1" applyAlignment="1">
      <alignment vertical="center"/>
    </xf>
    <xf numFmtId="43" fontId="9" fillId="0" borderId="9" xfId="1" applyFont="1" applyBorder="1" applyAlignment="1">
      <alignment horizontal="center" vertical="center"/>
    </xf>
    <xf numFmtId="0" fontId="9" fillId="0" borderId="9" xfId="0" applyFont="1" applyBorder="1" applyAlignment="1">
      <alignment horizontal="center" vertical="center"/>
    </xf>
    <xf numFmtId="43" fontId="9" fillId="0" borderId="9" xfId="1" applyFont="1" applyBorder="1" applyAlignment="1">
      <alignment horizontal="center"/>
    </xf>
    <xf numFmtId="0" fontId="9" fillId="0" borderId="9" xfId="0" applyFont="1" applyBorder="1" applyAlignment="1">
      <alignment vertical="center"/>
    </xf>
    <xf numFmtId="43" fontId="9" fillId="3" borderId="9" xfId="1" applyFont="1" applyFill="1" applyBorder="1" applyAlignment="1">
      <alignment horizontal="center"/>
    </xf>
    <xf numFmtId="43" fontId="9" fillId="5" borderId="9" xfId="1" applyFont="1" applyFill="1" applyBorder="1" applyAlignment="1">
      <alignment horizontal="center"/>
    </xf>
    <xf numFmtId="49" fontId="9" fillId="0" borderId="8" xfId="1" applyNumberFormat="1" applyFont="1" applyFill="1" applyBorder="1" applyAlignment="1">
      <alignment horizontal="center" shrinkToFit="1"/>
    </xf>
    <xf numFmtId="43" fontId="9" fillId="0" borderId="8" xfId="1" applyFont="1" applyFill="1" applyBorder="1" applyAlignment="1">
      <alignment horizontal="center"/>
    </xf>
    <xf numFmtId="43" fontId="9" fillId="6" borderId="9" xfId="1" applyFont="1" applyFill="1" applyBorder="1" applyAlignment="1">
      <alignment horizontal="center"/>
    </xf>
    <xf numFmtId="43" fontId="9" fillId="0" borderId="8" xfId="0" applyNumberFormat="1" applyFont="1" applyFill="1" applyBorder="1"/>
    <xf numFmtId="0" fontId="8" fillId="0" borderId="11" xfId="0" applyFont="1" applyBorder="1" applyAlignment="1">
      <alignment horizontal="center"/>
    </xf>
    <xf numFmtId="43" fontId="8" fillId="0" borderId="11" xfId="1" applyFont="1" applyBorder="1"/>
    <xf numFmtId="43" fontId="12" fillId="0" borderId="11" xfId="0" applyNumberFormat="1" applyFont="1" applyBorder="1"/>
    <xf numFmtId="43" fontId="8" fillId="3" borderId="11" xfId="1" applyFont="1" applyFill="1" applyBorder="1"/>
    <xf numFmtId="43" fontId="8" fillId="5" borderId="11" xfId="1" applyFont="1" applyFill="1" applyBorder="1"/>
    <xf numFmtId="43" fontId="8" fillId="0" borderId="11" xfId="1" applyFont="1" applyBorder="1" applyAlignment="1">
      <alignment shrinkToFit="1"/>
    </xf>
    <xf numFmtId="0" fontId="8" fillId="0" borderId="11" xfId="0" applyFont="1" applyBorder="1" applyAlignment="1">
      <alignment shrinkToFit="1"/>
    </xf>
    <xf numFmtId="43" fontId="8" fillId="6" borderId="11" xfId="1" applyFont="1" applyFill="1" applyBorder="1"/>
    <xf numFmtId="0" fontId="9" fillId="0" borderId="0" xfId="0" applyFont="1" applyAlignment="1">
      <alignment horizontal="center"/>
    </xf>
    <xf numFmtId="43" fontId="9" fillId="0" borderId="0" xfId="1" applyFont="1"/>
    <xf numFmtId="43" fontId="13" fillId="0" borderId="0" xfId="1" applyFont="1"/>
    <xf numFmtId="0" fontId="9" fillId="0" borderId="0" xfId="0" applyFont="1" applyAlignment="1">
      <alignment shrinkToFit="1"/>
    </xf>
    <xf numFmtId="43" fontId="9" fillId="0" borderId="0" xfId="0" applyNumberFormat="1" applyFont="1"/>
    <xf numFmtId="14" fontId="9" fillId="0" borderId="2" xfId="0" applyNumberFormat="1" applyFont="1" applyBorder="1" applyAlignment="1">
      <alignment horizontal="left" vertical="top"/>
    </xf>
    <xf numFmtId="14" fontId="9" fillId="0" borderId="2" xfId="0" applyNumberFormat="1" applyFont="1" applyBorder="1" applyAlignment="1">
      <alignment horizontal="left" vertical="top" wrapText="1"/>
    </xf>
    <xf numFmtId="43" fontId="9" fillId="0" borderId="2" xfId="1" applyFont="1" applyBorder="1" applyAlignment="1">
      <alignment horizontal="left" vertical="top" wrapText="1"/>
    </xf>
    <xf numFmtId="0" fontId="9" fillId="0" borderId="2" xfId="0" applyFont="1" applyBorder="1" applyAlignment="1">
      <alignment horizontal="left" vertical="top"/>
    </xf>
    <xf numFmtId="43" fontId="9" fillId="0" borderId="2" xfId="1" applyFont="1" applyBorder="1" applyAlignment="1">
      <alignment horizontal="left" vertical="top"/>
    </xf>
    <xf numFmtId="0" fontId="9" fillId="0" borderId="9" xfId="0" applyFont="1" applyBorder="1" applyAlignment="1">
      <alignment horizontal="left" vertical="top" shrinkToFit="1"/>
    </xf>
    <xf numFmtId="43" fontId="9" fillId="3" borderId="9" xfId="1" applyFont="1" applyFill="1" applyBorder="1" applyAlignment="1">
      <alignment horizontal="left" vertical="top"/>
    </xf>
    <xf numFmtId="43" fontId="9" fillId="0" borderId="9" xfId="1" applyFont="1" applyFill="1" applyBorder="1" applyAlignment="1">
      <alignment horizontal="left" vertical="top"/>
    </xf>
    <xf numFmtId="43" fontId="9" fillId="5" borderId="9" xfId="1" applyFont="1" applyFill="1" applyBorder="1" applyAlignment="1">
      <alignment horizontal="left" vertical="top"/>
    </xf>
    <xf numFmtId="49" fontId="9" fillId="0" borderId="8" xfId="1" applyNumberFormat="1" applyFont="1" applyFill="1" applyBorder="1" applyAlignment="1">
      <alignment horizontal="left" vertical="top" shrinkToFit="1"/>
    </xf>
    <xf numFmtId="43" fontId="9" fillId="0" borderId="8" xfId="1" applyFont="1" applyFill="1" applyBorder="1" applyAlignment="1">
      <alignment horizontal="left" vertical="top"/>
    </xf>
    <xf numFmtId="49" fontId="9" fillId="0" borderId="9" xfId="1" applyNumberFormat="1" applyFont="1" applyFill="1" applyBorder="1" applyAlignment="1">
      <alignment horizontal="left" vertical="top" shrinkToFit="1"/>
    </xf>
    <xf numFmtId="43" fontId="9" fillId="6" borderId="9" xfId="1" applyFont="1" applyFill="1" applyBorder="1" applyAlignment="1">
      <alignment horizontal="left" vertical="top"/>
    </xf>
    <xf numFmtId="43" fontId="9" fillId="0" borderId="8" xfId="0" applyNumberFormat="1" applyFont="1" applyFill="1" applyBorder="1" applyAlignment="1">
      <alignment horizontal="left" vertical="top"/>
    </xf>
    <xf numFmtId="0" fontId="9" fillId="0" borderId="0" xfId="0" applyFont="1" applyAlignment="1">
      <alignment horizontal="left" vertical="top"/>
    </xf>
    <xf numFmtId="0" fontId="9" fillId="0" borderId="9" xfId="0" applyFont="1" applyBorder="1" applyAlignment="1">
      <alignment horizontal="left" vertical="top"/>
    </xf>
    <xf numFmtId="49" fontId="8" fillId="0" borderId="2" xfId="0" applyNumberFormat="1" applyFont="1" applyBorder="1" applyAlignment="1">
      <alignment horizontal="left" vertical="top" wrapText="1"/>
    </xf>
    <xf numFmtId="14" fontId="8" fillId="0" borderId="2" xfId="0" applyNumberFormat="1" applyFont="1" applyBorder="1" applyAlignment="1">
      <alignment horizontal="left" vertical="top" wrapText="1"/>
    </xf>
    <xf numFmtId="0" fontId="15" fillId="0" borderId="0" xfId="0" applyFont="1"/>
    <xf numFmtId="0" fontId="15" fillId="0" borderId="0" xfId="0" applyFont="1" applyAlignment="1">
      <alignment horizontal="center" wrapText="1"/>
    </xf>
    <xf numFmtId="187" fontId="15" fillId="0" borderId="0" xfId="0" applyNumberFormat="1" applyFont="1" applyAlignment="1">
      <alignment horizontal="center" wrapText="1"/>
    </xf>
    <xf numFmtId="0" fontId="15" fillId="0" borderId="0" xfId="0" applyFont="1" applyAlignment="1">
      <alignment horizontal="left" wrapText="1"/>
    </xf>
    <xf numFmtId="0" fontId="15" fillId="0" borderId="0" xfId="0" applyFont="1" applyAlignment="1">
      <alignment wrapText="1"/>
    </xf>
    <xf numFmtId="43" fontId="15" fillId="0" borderId="0" xfId="1" applyFont="1" applyAlignment="1">
      <alignment wrapText="1"/>
    </xf>
    <xf numFmtId="4" fontId="18" fillId="11" borderId="14" xfId="2" applyNumberFormat="1" applyFont="1" applyFill="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wrapText="1"/>
    </xf>
    <xf numFmtId="0" fontId="16" fillId="0" borderId="0" xfId="0" applyFont="1" applyAlignment="1">
      <alignment vertical="top" wrapText="1"/>
    </xf>
    <xf numFmtId="0" fontId="16" fillId="11" borderId="2" xfId="0" applyFont="1" applyFill="1" applyBorder="1" applyAlignment="1">
      <alignment horizontal="center" vertical="top" wrapText="1"/>
    </xf>
    <xf numFmtId="0" fontId="20" fillId="9" borderId="4" xfId="0" applyNumberFormat="1" applyFont="1" applyFill="1" applyBorder="1" applyAlignment="1">
      <alignment horizontal="left" vertical="center"/>
    </xf>
    <xf numFmtId="187" fontId="20" fillId="9" borderId="13" xfId="0" applyNumberFormat="1" applyFont="1" applyFill="1" applyBorder="1" applyAlignment="1">
      <alignment horizontal="center" vertical="center"/>
    </xf>
    <xf numFmtId="0" fontId="20" fillId="9" borderId="13" xfId="0" applyNumberFormat="1" applyFont="1" applyFill="1" applyBorder="1" applyAlignment="1">
      <alignment horizontal="center" vertical="center"/>
    </xf>
    <xf numFmtId="0" fontId="20" fillId="9" borderId="13" xfId="0" applyNumberFormat="1" applyFont="1" applyFill="1" applyBorder="1" applyAlignment="1">
      <alignment horizontal="left" vertical="center"/>
    </xf>
    <xf numFmtId="0" fontId="20" fillId="9" borderId="13" xfId="0" applyNumberFormat="1" applyFont="1" applyFill="1" applyBorder="1" applyAlignment="1">
      <alignment vertical="center"/>
    </xf>
    <xf numFmtId="43" fontId="20" fillId="9" borderId="2" xfId="1" applyFont="1" applyFill="1" applyBorder="1" applyAlignment="1">
      <alignment vertical="center"/>
    </xf>
    <xf numFmtId="0" fontId="15" fillId="0" borderId="9" xfId="0" applyFont="1" applyBorder="1" applyAlignment="1">
      <alignment horizontal="center" vertical="top" wrapText="1"/>
    </xf>
    <xf numFmtId="187" fontId="15" fillId="0" borderId="9" xfId="0" applyNumberFormat="1" applyFont="1" applyBorder="1" applyAlignment="1">
      <alignment horizontal="center" vertical="top" shrinkToFit="1"/>
    </xf>
    <xf numFmtId="0" fontId="15" fillId="0" borderId="9" xfId="0" applyFont="1" applyBorder="1" applyAlignment="1">
      <alignment horizontal="center" vertical="top" shrinkToFit="1"/>
    </xf>
    <xf numFmtId="0" fontId="15" fillId="0" borderId="9" xfId="0" applyFont="1" applyBorder="1" applyAlignment="1">
      <alignment horizontal="center" vertical="top" wrapText="1" shrinkToFit="1"/>
    </xf>
    <xf numFmtId="0" fontId="15" fillId="0" borderId="9" xfId="0" applyFont="1" applyBorder="1" applyAlignment="1">
      <alignment horizontal="left" vertical="top" wrapText="1"/>
    </xf>
    <xf numFmtId="0" fontId="15" fillId="0" borderId="9" xfId="0" applyFont="1" applyBorder="1" applyAlignment="1">
      <alignment vertical="top" wrapText="1"/>
    </xf>
    <xf numFmtId="43" fontId="15" fillId="0" borderId="9" xfId="1" applyFont="1" applyBorder="1" applyAlignment="1">
      <alignment vertical="top" wrapText="1"/>
    </xf>
    <xf numFmtId="43" fontId="15" fillId="0" borderId="8" xfId="1" applyFont="1" applyBorder="1" applyAlignment="1">
      <alignment vertical="top" wrapText="1"/>
    </xf>
    <xf numFmtId="0" fontId="15" fillId="0" borderId="0" xfId="0" applyFont="1" applyAlignment="1">
      <alignment vertical="top" wrapText="1"/>
    </xf>
    <xf numFmtId="0" fontId="15" fillId="0" borderId="8" xfId="0" applyFont="1" applyBorder="1" applyAlignment="1">
      <alignment horizontal="center" vertical="top" wrapText="1"/>
    </xf>
    <xf numFmtId="187" fontId="15" fillId="0" borderId="8" xfId="0" applyNumberFormat="1" applyFont="1" applyBorder="1" applyAlignment="1">
      <alignment horizontal="center" vertical="top" shrinkToFit="1"/>
    </xf>
    <xf numFmtId="0" fontId="15" fillId="0" borderId="8" xfId="0" applyFont="1" applyBorder="1" applyAlignment="1">
      <alignment horizontal="center" vertical="top" wrapText="1" shrinkToFit="1"/>
    </xf>
    <xf numFmtId="0" fontId="15" fillId="0" borderId="8" xfId="0" applyFont="1" applyBorder="1" applyAlignment="1">
      <alignment horizontal="center" vertical="top" shrinkToFit="1"/>
    </xf>
    <xf numFmtId="0" fontId="15" fillId="0" borderId="8" xfId="0" applyFont="1" applyBorder="1" applyAlignment="1">
      <alignment horizontal="left" vertical="top" wrapText="1"/>
    </xf>
    <xf numFmtId="0" fontId="15" fillId="0" borderId="8" xfId="0" applyFont="1" applyBorder="1" applyAlignment="1">
      <alignment vertical="top" wrapText="1"/>
    </xf>
    <xf numFmtId="43" fontId="21" fillId="0" borderId="8" xfId="1" applyFont="1" applyBorder="1" applyAlignment="1">
      <alignment horizontal="center" vertical="top" wrapText="1"/>
    </xf>
    <xf numFmtId="0" fontId="15" fillId="0" borderId="3" xfId="0" applyFont="1" applyBorder="1" applyAlignment="1">
      <alignment horizontal="center" vertical="top"/>
    </xf>
    <xf numFmtId="187" fontId="15" fillId="0" borderId="3" xfId="0" applyNumberFormat="1" applyFont="1" applyBorder="1" applyAlignment="1">
      <alignment horizontal="center" vertical="top"/>
    </xf>
    <xf numFmtId="0" fontId="15" fillId="0" borderId="3" xfId="0" applyFont="1" applyBorder="1" applyAlignment="1">
      <alignment horizontal="left" vertical="top"/>
    </xf>
    <xf numFmtId="0" fontId="15" fillId="0" borderId="3" xfId="0" applyFont="1" applyBorder="1" applyAlignment="1">
      <alignment vertical="top" wrapText="1"/>
    </xf>
    <xf numFmtId="43" fontId="15" fillId="0" borderId="2" xfId="1" applyFont="1" applyBorder="1" applyAlignment="1">
      <alignment vertical="top"/>
    </xf>
    <xf numFmtId="0" fontId="15" fillId="0" borderId="0" xfId="0" applyFont="1" applyAlignment="1">
      <alignment vertical="top"/>
    </xf>
    <xf numFmtId="43" fontId="16" fillId="0" borderId="2" xfId="1" applyFont="1" applyBorder="1" applyAlignment="1">
      <alignment vertical="center" shrinkToFit="1"/>
    </xf>
    <xf numFmtId="0" fontId="16" fillId="0" borderId="0" xfId="0" applyFont="1" applyAlignment="1">
      <alignment vertical="center"/>
    </xf>
    <xf numFmtId="43" fontId="22" fillId="0" borderId="0" xfId="1" applyFont="1" applyBorder="1" applyAlignment="1">
      <alignment vertical="center"/>
    </xf>
    <xf numFmtId="0" fontId="15" fillId="0" borderId="0" xfId="0" applyFont="1" applyAlignment="1">
      <alignment horizontal="center"/>
    </xf>
    <xf numFmtId="187" fontId="15" fillId="0" borderId="0" xfId="0" applyNumberFormat="1" applyFont="1" applyAlignment="1">
      <alignment horizontal="center"/>
    </xf>
    <xf numFmtId="0" fontId="15" fillId="0" borderId="0" xfId="0" applyFont="1" applyAlignment="1">
      <alignment horizontal="left"/>
    </xf>
    <xf numFmtId="43" fontId="15" fillId="0" borderId="0" xfId="1" applyFont="1"/>
    <xf numFmtId="14" fontId="15" fillId="0" borderId="0" xfId="0" applyNumberFormat="1" applyFont="1" applyAlignment="1">
      <alignment horizontal="center" wrapText="1"/>
    </xf>
    <xf numFmtId="14" fontId="20" fillId="9" borderId="13" xfId="0" applyNumberFormat="1" applyFont="1" applyFill="1" applyBorder="1" applyAlignment="1">
      <alignment horizontal="center" vertical="center"/>
    </xf>
    <xf numFmtId="14" fontId="15" fillId="0" borderId="9" xfId="0" applyNumberFormat="1" applyFont="1" applyBorder="1" applyAlignment="1">
      <alignment horizontal="center" vertical="top" shrinkToFit="1"/>
    </xf>
    <xf numFmtId="14" fontId="15" fillId="0" borderId="8" xfId="0" applyNumberFormat="1" applyFont="1" applyBorder="1" applyAlignment="1">
      <alignment horizontal="center" vertical="top" shrinkToFit="1"/>
    </xf>
    <xf numFmtId="0" fontId="15" fillId="0" borderId="15" xfId="0" applyFont="1" applyBorder="1" applyAlignment="1">
      <alignment horizontal="left" vertical="top" wrapText="1"/>
    </xf>
    <xf numFmtId="0" fontId="15" fillId="0" borderId="7" xfId="0" applyFont="1" applyBorder="1" applyAlignment="1">
      <alignment horizontal="center" vertical="top" wrapText="1"/>
    </xf>
    <xf numFmtId="14" fontId="15" fillId="0" borderId="7" xfId="0" applyNumberFormat="1" applyFont="1" applyBorder="1" applyAlignment="1">
      <alignment horizontal="center" vertical="top" shrinkToFit="1"/>
    </xf>
    <xf numFmtId="0" fontId="15" fillId="0" borderId="7" xfId="0" applyFont="1" applyBorder="1" applyAlignment="1">
      <alignment horizontal="center" vertical="top" shrinkToFit="1"/>
    </xf>
    <xf numFmtId="0" fontId="15" fillId="0" borderId="7" xfId="0" applyFont="1" applyBorder="1" applyAlignment="1">
      <alignment horizontal="center" vertical="top" wrapText="1" shrinkToFit="1"/>
    </xf>
    <xf numFmtId="0" fontId="15" fillId="0" borderId="7" xfId="0" applyFont="1" applyBorder="1" applyAlignment="1">
      <alignment horizontal="left" vertical="top" wrapText="1"/>
    </xf>
    <xf numFmtId="0" fontId="15" fillId="0" borderId="7" xfId="0" applyFont="1" applyBorder="1" applyAlignment="1">
      <alignment vertical="top" wrapText="1"/>
    </xf>
    <xf numFmtId="43" fontId="15" fillId="0" borderId="7" xfId="1" applyFont="1" applyBorder="1" applyAlignment="1">
      <alignment vertical="top" wrapText="1"/>
    </xf>
    <xf numFmtId="43" fontId="16" fillId="0" borderId="8" xfId="1" applyFont="1" applyBorder="1" applyAlignment="1">
      <alignment horizontal="center" vertical="top" wrapText="1"/>
    </xf>
    <xf numFmtId="14" fontId="15" fillId="0" borderId="3" xfId="0" applyNumberFormat="1" applyFont="1" applyBorder="1" applyAlignment="1">
      <alignment horizontal="center" vertical="top"/>
    </xf>
    <xf numFmtId="14" fontId="15" fillId="0" borderId="0" xfId="0" applyNumberFormat="1" applyFont="1" applyAlignment="1">
      <alignment horizontal="center"/>
    </xf>
    <xf numFmtId="0" fontId="24" fillId="0" borderId="0" xfId="0" applyFont="1" applyFill="1" applyAlignment="1">
      <alignment horizontal="center" vertical="top"/>
    </xf>
    <xf numFmtId="0" fontId="4" fillId="0" borderId="1" xfId="0" applyFont="1" applyFill="1" applyBorder="1" applyAlignment="1">
      <alignment horizontal="center" vertical="top"/>
    </xf>
    <xf numFmtId="0" fontId="4" fillId="0" borderId="1" xfId="0" applyFont="1" applyFill="1" applyBorder="1" applyAlignment="1">
      <alignment horizontal="center" vertical="top" wrapText="1"/>
    </xf>
    <xf numFmtId="0" fontId="4" fillId="0" borderId="0" xfId="0" applyFont="1" applyFill="1" applyAlignment="1">
      <alignment vertical="top"/>
    </xf>
    <xf numFmtId="43" fontId="4" fillId="0" borderId="2" xfId="1" applyFont="1" applyFill="1" applyBorder="1" applyAlignment="1">
      <alignment horizontal="center" vertical="top"/>
    </xf>
    <xf numFmtId="14" fontId="24" fillId="0" borderId="2" xfId="0" applyNumberFormat="1" applyFont="1" applyFill="1" applyBorder="1" applyAlignment="1">
      <alignment horizontal="center" vertical="top"/>
    </xf>
    <xf numFmtId="0" fontId="24" fillId="0" borderId="2" xfId="0" applyFont="1" applyFill="1" applyBorder="1" applyAlignment="1">
      <alignment horizontal="center" vertical="top"/>
    </xf>
    <xf numFmtId="0" fontId="24" fillId="0" borderId="2" xfId="0" applyFont="1" applyFill="1" applyBorder="1" applyAlignment="1">
      <alignment vertical="top"/>
    </xf>
    <xf numFmtId="0" fontId="24" fillId="0" borderId="2" xfId="0" applyFont="1" applyFill="1" applyBorder="1" applyAlignment="1">
      <alignment vertical="top" wrapText="1"/>
    </xf>
    <xf numFmtId="43" fontId="24" fillId="0" borderId="2" xfId="0" applyNumberFormat="1" applyFont="1" applyFill="1" applyBorder="1" applyAlignment="1">
      <alignment horizontal="center" vertical="top"/>
    </xf>
    <xf numFmtId="14" fontId="24" fillId="0" borderId="2" xfId="0" applyNumberFormat="1" applyFont="1" applyFill="1" applyBorder="1" applyAlignment="1">
      <alignment horizontal="left" vertical="top"/>
    </xf>
    <xf numFmtId="0" fontId="24" fillId="0" borderId="2" xfId="0" applyFont="1" applyFill="1" applyBorder="1" applyAlignment="1">
      <alignment horizontal="left" vertical="top" wrapText="1"/>
    </xf>
    <xf numFmtId="43" fontId="24" fillId="0" borderId="2" xfId="1" applyFont="1" applyFill="1" applyBorder="1" applyAlignment="1">
      <alignment horizontal="center" vertical="top"/>
    </xf>
    <xf numFmtId="43" fontId="24" fillId="0" borderId="2" xfId="1" applyFont="1" applyFill="1" applyBorder="1" applyAlignment="1">
      <alignment vertical="top"/>
    </xf>
    <xf numFmtId="0" fontId="24" fillId="0" borderId="0" xfId="0" applyFont="1" applyFill="1" applyAlignment="1">
      <alignment vertical="top"/>
    </xf>
    <xf numFmtId="0" fontId="24" fillId="0" borderId="2" xfId="0" applyNumberFormat="1" applyFont="1" applyFill="1" applyBorder="1" applyAlignment="1">
      <alignment vertical="top" wrapText="1"/>
    </xf>
    <xf numFmtId="0" fontId="24" fillId="0" borderId="2" xfId="0" applyFont="1" applyBorder="1" applyAlignment="1">
      <alignment vertical="top"/>
    </xf>
    <xf numFmtId="43" fontId="24" fillId="0" borderId="2" xfId="1" applyFont="1" applyFill="1" applyBorder="1" applyAlignment="1">
      <alignment horizontal="left" vertical="top"/>
    </xf>
    <xf numFmtId="0" fontId="24" fillId="0" borderId="2" xfId="0" applyFont="1" applyBorder="1" applyAlignment="1">
      <alignment horizontal="center" vertical="top"/>
    </xf>
    <xf numFmtId="0" fontId="24" fillId="0" borderId="2" xfId="0" applyFont="1" applyBorder="1" applyAlignment="1">
      <alignment vertical="top" wrapText="1"/>
    </xf>
    <xf numFmtId="43" fontId="5" fillId="0" borderId="2" xfId="1" applyFont="1" applyFill="1" applyBorder="1" applyAlignment="1">
      <alignment vertical="top"/>
    </xf>
    <xf numFmtId="0" fontId="24" fillId="0" borderId="2" xfId="0" applyFont="1" applyFill="1" applyBorder="1" applyAlignment="1">
      <alignment horizontal="center" vertical="top" wrapText="1"/>
    </xf>
    <xf numFmtId="0" fontId="4" fillId="0" borderId="11" xfId="0" applyFont="1" applyFill="1" applyBorder="1" applyAlignment="1">
      <alignment horizontal="center" vertical="top"/>
    </xf>
    <xf numFmtId="0" fontId="4" fillId="0" borderId="11" xfId="0" applyFont="1" applyFill="1" applyBorder="1" applyAlignment="1">
      <alignment horizontal="center" vertical="top" wrapText="1"/>
    </xf>
    <xf numFmtId="43" fontId="4" fillId="0" borderId="11" xfId="1" applyFont="1" applyFill="1" applyBorder="1" applyAlignment="1">
      <alignment vertical="top"/>
    </xf>
    <xf numFmtId="0" fontId="24" fillId="0" borderId="0" xfId="0" applyFont="1" applyFill="1" applyAlignment="1">
      <alignment horizontal="center" vertical="top" wrapText="1"/>
    </xf>
    <xf numFmtId="43" fontId="24" fillId="0" borderId="0" xfId="1" applyFont="1" applyFill="1" applyAlignment="1">
      <alignment vertical="top"/>
    </xf>
    <xf numFmtId="0" fontId="4" fillId="0" borderId="0" xfId="0" applyFont="1" applyFill="1" applyAlignment="1">
      <alignment horizontal="left" vertical="top"/>
    </xf>
    <xf numFmtId="0" fontId="24" fillId="0" borderId="0" xfId="0" applyFont="1" applyFill="1" applyAlignment="1">
      <alignment horizontal="left" vertical="top" wrapText="1"/>
    </xf>
    <xf numFmtId="49" fontId="24" fillId="0" borderId="0" xfId="0" quotePrefix="1" applyNumberFormat="1" applyFont="1" applyFill="1" applyAlignment="1">
      <alignment vertical="top"/>
    </xf>
    <xf numFmtId="49" fontId="24" fillId="0" borderId="0" xfId="0" quotePrefix="1" applyNumberFormat="1" applyFont="1" applyFill="1" applyAlignment="1">
      <alignment horizontal="center" vertical="top" wrapText="1"/>
    </xf>
    <xf numFmtId="0" fontId="2" fillId="0" borderId="1" xfId="0" applyFont="1" applyBorder="1" applyAlignment="1"/>
    <xf numFmtId="0" fontId="26" fillId="0" borderId="0" xfId="0" applyFont="1"/>
    <xf numFmtId="0" fontId="26" fillId="0" borderId="0" xfId="0" applyFont="1" applyAlignment="1">
      <alignment horizontal="center" wrapText="1"/>
    </xf>
    <xf numFmtId="187" fontId="26" fillId="0" borderId="0" xfId="0" applyNumberFormat="1" applyFont="1" applyAlignment="1">
      <alignment horizontal="center" wrapText="1"/>
    </xf>
    <xf numFmtId="0" fontId="26" fillId="0" borderId="0" xfId="0" applyFont="1" applyAlignment="1">
      <alignment horizontal="left" wrapText="1"/>
    </xf>
    <xf numFmtId="0" fontId="26" fillId="0" borderId="0" xfId="0" applyFont="1" applyAlignment="1">
      <alignment wrapText="1"/>
    </xf>
    <xf numFmtId="43" fontId="26" fillId="0" borderId="0" xfId="1" applyFont="1" applyAlignment="1">
      <alignment wrapText="1"/>
    </xf>
    <xf numFmtId="0" fontId="27" fillId="0" borderId="0" xfId="0" applyFont="1" applyAlignment="1">
      <alignment vertical="center" wrapText="1"/>
    </xf>
    <xf numFmtId="0" fontId="27" fillId="0" borderId="0" xfId="0" applyFont="1" applyAlignment="1">
      <alignment wrapText="1"/>
    </xf>
    <xf numFmtId="0" fontId="27" fillId="0" borderId="0" xfId="0" applyFont="1" applyAlignment="1">
      <alignment vertical="top" wrapText="1"/>
    </xf>
    <xf numFmtId="0" fontId="27" fillId="11" borderId="2" xfId="0" applyFont="1" applyFill="1" applyBorder="1" applyAlignment="1">
      <alignment horizontal="center" vertical="top" wrapText="1"/>
    </xf>
    <xf numFmtId="0" fontId="30" fillId="9" borderId="25" xfId="0" applyNumberFormat="1" applyFont="1" applyFill="1" applyBorder="1" applyAlignment="1">
      <alignment horizontal="left" vertical="center"/>
    </xf>
    <xf numFmtId="0" fontId="30" fillId="9" borderId="13" xfId="0" applyNumberFormat="1" applyFont="1" applyFill="1" applyBorder="1" applyAlignment="1">
      <alignment horizontal="center" vertical="center"/>
    </xf>
    <xf numFmtId="0" fontId="30" fillId="9" borderId="13" xfId="0" applyNumberFormat="1" applyFont="1" applyFill="1" applyBorder="1" applyAlignment="1">
      <alignment horizontal="left" vertical="center"/>
    </xf>
    <xf numFmtId="0" fontId="30" fillId="9" borderId="13" xfId="0" applyNumberFormat="1" applyFont="1" applyFill="1" applyBorder="1" applyAlignment="1">
      <alignment vertical="center"/>
    </xf>
    <xf numFmtId="43" fontId="30" fillId="9" borderId="2" xfId="1" applyFont="1" applyFill="1" applyBorder="1" applyAlignment="1">
      <alignment vertical="center"/>
    </xf>
    <xf numFmtId="0" fontId="26" fillId="0" borderId="26" xfId="0" applyFont="1" applyBorder="1" applyAlignment="1">
      <alignment horizontal="center" vertical="top" wrapText="1"/>
    </xf>
    <xf numFmtId="0" fontId="26" fillId="0" borderId="9" xfId="0" applyFont="1" applyBorder="1" applyAlignment="1">
      <alignment horizontal="center" vertical="top" wrapText="1" shrinkToFit="1"/>
    </xf>
    <xf numFmtId="0" fontId="26" fillId="0" borderId="9" xfId="0" applyFont="1" applyBorder="1" applyAlignment="1">
      <alignment horizontal="left" vertical="top" wrapText="1"/>
    </xf>
    <xf numFmtId="0" fontId="26" fillId="0" borderId="9" xfId="0" applyFont="1" applyBorder="1" applyAlignment="1">
      <alignment vertical="top" wrapText="1"/>
    </xf>
    <xf numFmtId="43" fontId="26" fillId="0" borderId="9" xfId="1" applyFont="1" applyBorder="1" applyAlignment="1">
      <alignment vertical="top" wrapText="1"/>
    </xf>
    <xf numFmtId="43" fontId="26" fillId="0" borderId="8" xfId="1" applyFont="1" applyBorder="1" applyAlignment="1">
      <alignment vertical="top" wrapText="1"/>
    </xf>
    <xf numFmtId="43" fontId="26" fillId="0" borderId="27" xfId="1" applyFont="1" applyBorder="1" applyAlignment="1">
      <alignment vertical="top" wrapText="1"/>
    </xf>
    <xf numFmtId="0" fontId="26" fillId="0" borderId="0" xfId="0" applyFont="1" applyAlignment="1">
      <alignment vertical="top" wrapText="1"/>
    </xf>
    <xf numFmtId="0" fontId="26" fillId="0" borderId="9" xfId="0" applyFont="1" applyBorder="1" applyAlignment="1">
      <alignment horizontal="center" vertical="top" shrinkToFit="1"/>
    </xf>
    <xf numFmtId="0" fontId="26" fillId="0" borderId="8" xfId="0" applyFont="1" applyBorder="1" applyAlignment="1">
      <alignment horizontal="center" vertical="top" wrapText="1" shrinkToFit="1"/>
    </xf>
    <xf numFmtId="0" fontId="26" fillId="0" borderId="8" xfId="0" applyFont="1" applyBorder="1" applyAlignment="1">
      <alignment horizontal="left" vertical="top" wrapText="1"/>
    </xf>
    <xf numFmtId="0" fontId="26" fillId="0" borderId="8" xfId="0" applyFont="1" applyBorder="1" applyAlignment="1">
      <alignment vertical="top" wrapText="1"/>
    </xf>
    <xf numFmtId="43" fontId="26" fillId="0" borderId="28" xfId="1" applyFont="1" applyBorder="1" applyAlignment="1">
      <alignment vertical="top" wrapText="1"/>
    </xf>
    <xf numFmtId="43" fontId="30" fillId="9" borderId="29" xfId="1" applyFont="1" applyFill="1" applyBorder="1" applyAlignment="1">
      <alignment vertical="center"/>
    </xf>
    <xf numFmtId="0" fontId="26" fillId="0" borderId="30" xfId="0" applyFont="1" applyBorder="1" applyAlignment="1">
      <alignment horizontal="center" vertical="top"/>
    </xf>
    <xf numFmtId="0" fontId="26" fillId="0" borderId="3" xfId="0" applyFont="1" applyBorder="1" applyAlignment="1">
      <alignment horizontal="center" vertical="top"/>
    </xf>
    <xf numFmtId="0" fontId="26" fillId="0" borderId="3" xfId="0" applyFont="1" applyBorder="1" applyAlignment="1">
      <alignment horizontal="left" vertical="top"/>
    </xf>
    <xf numFmtId="0" fontId="26" fillId="0" borderId="3" xfId="0" applyFont="1" applyBorder="1" applyAlignment="1">
      <alignment vertical="top" wrapText="1"/>
    </xf>
    <xf numFmtId="43" fontId="26" fillId="0" borderId="2" xfId="1" applyFont="1" applyBorder="1" applyAlignment="1">
      <alignment vertical="top"/>
    </xf>
    <xf numFmtId="43" fontId="26" fillId="0" borderId="29" xfId="1" applyFont="1" applyBorder="1" applyAlignment="1">
      <alignment vertical="top"/>
    </xf>
    <xf numFmtId="0" fontId="26" fillId="0" borderId="0" xfId="0" applyFont="1" applyAlignment="1">
      <alignment vertical="top"/>
    </xf>
    <xf numFmtId="43" fontId="27" fillId="0" borderId="34" xfId="1" applyFont="1" applyBorder="1" applyAlignment="1">
      <alignment vertical="center" shrinkToFit="1"/>
    </xf>
    <xf numFmtId="0" fontId="27" fillId="0" borderId="0" xfId="0" applyFont="1" applyAlignment="1">
      <alignment vertical="center"/>
    </xf>
    <xf numFmtId="43" fontId="32" fillId="0" borderId="0" xfId="1" applyFont="1" applyBorder="1" applyAlignment="1">
      <alignment vertical="center"/>
    </xf>
    <xf numFmtId="0" fontId="26" fillId="0" borderId="0" xfId="0" applyFont="1" applyAlignment="1">
      <alignment horizontal="center"/>
    </xf>
    <xf numFmtId="187" fontId="26" fillId="0" borderId="0" xfId="0" applyNumberFormat="1" applyFont="1" applyAlignment="1">
      <alignment horizontal="center"/>
    </xf>
    <xf numFmtId="0" fontId="26" fillId="0" borderId="0" xfId="0" applyFont="1" applyAlignment="1">
      <alignment horizontal="left"/>
    </xf>
    <xf numFmtId="43" fontId="26" fillId="0" borderId="0" xfId="1" applyFont="1"/>
    <xf numFmtId="0" fontId="26" fillId="0" borderId="8" xfId="0" applyFont="1" applyBorder="1" applyAlignment="1">
      <alignment horizontal="center" vertical="top" shrinkToFit="1"/>
    </xf>
    <xf numFmtId="14" fontId="26" fillId="0" borderId="0" xfId="0" applyNumberFormat="1" applyFont="1" applyAlignment="1">
      <alignment horizontal="center" wrapText="1"/>
    </xf>
    <xf numFmtId="14" fontId="30" fillId="9" borderId="13" xfId="0" applyNumberFormat="1" applyFont="1" applyFill="1" applyBorder="1" applyAlignment="1">
      <alignment horizontal="center" vertical="center"/>
    </xf>
    <xf numFmtId="14" fontId="26" fillId="0" borderId="9" xfId="0" applyNumberFormat="1" applyFont="1" applyBorder="1" applyAlignment="1">
      <alignment horizontal="center" vertical="top" shrinkToFit="1"/>
    </xf>
    <xf numFmtId="43" fontId="26" fillId="0" borderId="35" xfId="1" applyFont="1" applyBorder="1" applyAlignment="1">
      <alignment vertical="top" wrapText="1"/>
    </xf>
    <xf numFmtId="14" fontId="26" fillId="0" borderId="8" xfId="0" applyNumberFormat="1" applyFont="1" applyBorder="1" applyAlignment="1">
      <alignment horizontal="center" vertical="top" shrinkToFit="1"/>
    </xf>
    <xf numFmtId="43" fontId="26" fillId="0" borderId="28" xfId="1" applyFont="1" applyBorder="1" applyAlignment="1">
      <alignment horizontal="center" vertical="top" wrapText="1"/>
    </xf>
    <xf numFmtId="0" fontId="34" fillId="0" borderId="8" xfId="0" applyFont="1" applyBorder="1" applyAlignment="1">
      <alignment horizontal="center" vertical="top" wrapText="1" shrinkToFit="1"/>
    </xf>
    <xf numFmtId="0" fontId="26" fillId="0" borderId="36" xfId="0" applyFont="1" applyBorder="1" applyAlignment="1">
      <alignment horizontal="center" vertical="top" wrapText="1"/>
    </xf>
    <xf numFmtId="14" fontId="26" fillId="0" borderId="7" xfId="0" applyNumberFormat="1" applyFont="1" applyBorder="1" applyAlignment="1">
      <alignment horizontal="center" vertical="top" shrinkToFit="1"/>
    </xf>
    <xf numFmtId="0" fontId="26" fillId="0" borderId="7" xfId="0" applyFont="1" applyBorder="1" applyAlignment="1">
      <alignment horizontal="center" vertical="top" shrinkToFit="1"/>
    </xf>
    <xf numFmtId="0" fontId="26" fillId="0" borderId="7" xfId="0" applyFont="1" applyBorder="1" applyAlignment="1">
      <alignment horizontal="center" vertical="top" wrapText="1" shrinkToFit="1"/>
    </xf>
    <xf numFmtId="0" fontId="26" fillId="0" borderId="7" xfId="0" applyFont="1" applyBorder="1" applyAlignment="1">
      <alignment horizontal="left" vertical="top" wrapText="1"/>
    </xf>
    <xf numFmtId="0" fontId="26" fillId="0" borderId="7" xfId="0" applyFont="1" applyBorder="1" applyAlignment="1">
      <alignment vertical="top" wrapText="1"/>
    </xf>
    <xf numFmtId="43" fontId="26" fillId="0" borderId="7" xfId="1" applyFont="1" applyBorder="1" applyAlignment="1">
      <alignment vertical="top" wrapText="1"/>
    </xf>
    <xf numFmtId="0" fontId="26" fillId="0" borderId="8" xfId="0" applyFont="1" applyBorder="1" applyAlignment="1">
      <alignment horizontal="center" vertical="top" wrapText="1"/>
    </xf>
    <xf numFmtId="43" fontId="31" fillId="0" borderId="8" xfId="1" applyFont="1" applyBorder="1" applyAlignment="1">
      <alignment vertical="center"/>
    </xf>
    <xf numFmtId="43" fontId="31" fillId="0" borderId="8" xfId="1" applyFont="1" applyBorder="1" applyAlignment="1">
      <alignment vertical="top"/>
    </xf>
    <xf numFmtId="43" fontId="30" fillId="0" borderId="8" xfId="1" applyFont="1" applyBorder="1" applyAlignment="1">
      <alignment vertical="top"/>
    </xf>
    <xf numFmtId="43" fontId="35" fillId="0" borderId="8" xfId="1" applyFont="1" applyBorder="1" applyAlignment="1">
      <alignment vertical="top"/>
    </xf>
    <xf numFmtId="14" fontId="26" fillId="0" borderId="3" xfId="0" applyNumberFormat="1" applyFont="1" applyBorder="1" applyAlignment="1">
      <alignment horizontal="center" vertical="top"/>
    </xf>
    <xf numFmtId="43" fontId="27" fillId="12" borderId="34" xfId="1" applyFont="1" applyFill="1" applyBorder="1" applyAlignment="1">
      <alignment vertical="center" shrinkToFit="1"/>
    </xf>
    <xf numFmtId="14" fontId="26" fillId="0" borderId="0" xfId="0" applyNumberFormat="1" applyFont="1" applyAlignment="1">
      <alignment horizontal="center"/>
    </xf>
    <xf numFmtId="49" fontId="27" fillId="0" borderId="0" xfId="0" applyNumberFormat="1" applyFont="1" applyAlignment="1">
      <alignment horizontal="center"/>
    </xf>
    <xf numFmtId="0" fontId="27" fillId="0" borderId="0" xfId="0" applyFont="1" applyAlignment="1">
      <alignment horizontal="center"/>
    </xf>
    <xf numFmtId="0" fontId="27" fillId="0" borderId="0" xfId="0" applyFont="1"/>
    <xf numFmtId="43" fontId="27" fillId="0" borderId="0" xfId="1" applyFont="1"/>
    <xf numFmtId="43" fontId="27" fillId="0" borderId="0" xfId="0" applyNumberFormat="1" applyFont="1" applyAlignment="1">
      <alignment shrinkToFit="1"/>
    </xf>
    <xf numFmtId="43" fontId="27" fillId="0" borderId="37" xfId="0" applyNumberFormat="1" applyFont="1" applyBorder="1" applyAlignment="1">
      <alignment shrinkToFit="1"/>
    </xf>
    <xf numFmtId="0" fontId="37" fillId="0" borderId="38" xfId="3" applyFont="1" applyBorder="1" applyAlignment="1">
      <alignment horizontal="left" vertical="top"/>
    </xf>
    <xf numFmtId="0" fontId="37" fillId="0" borderId="39" xfId="3" applyFont="1" applyBorder="1" applyAlignment="1">
      <alignment horizontal="center" vertical="top"/>
    </xf>
    <xf numFmtId="0" fontId="37" fillId="0" borderId="39" xfId="3" applyFont="1" applyBorder="1" applyAlignment="1">
      <alignment vertical="top"/>
    </xf>
    <xf numFmtId="0" fontId="37" fillId="0" borderId="39" xfId="3" applyFont="1" applyBorder="1">
      <alignment vertical="top"/>
    </xf>
    <xf numFmtId="0" fontId="15" fillId="0" borderId="40" xfId="0" applyFont="1" applyBorder="1"/>
    <xf numFmtId="0" fontId="38" fillId="0" borderId="41" xfId="3" applyFont="1" applyBorder="1" applyAlignment="1">
      <alignment horizontal="left" vertical="top"/>
    </xf>
    <xf numFmtId="0" fontId="37" fillId="0" borderId="0" xfId="3" applyFont="1" applyBorder="1" applyAlignment="1">
      <alignment horizontal="center" vertical="top"/>
    </xf>
    <xf numFmtId="0" fontId="37" fillId="0" borderId="0" xfId="3" applyFont="1" applyBorder="1" applyAlignment="1">
      <alignment vertical="top"/>
    </xf>
    <xf numFmtId="0" fontId="37" fillId="0" borderId="0" xfId="3" applyFont="1" applyBorder="1">
      <alignment vertical="top"/>
    </xf>
    <xf numFmtId="0" fontId="15" fillId="0" borderId="42" xfId="0" applyFont="1" applyBorder="1"/>
    <xf numFmtId="0" fontId="37" fillId="0" borderId="41" xfId="3" applyFont="1" applyBorder="1" applyAlignment="1">
      <alignment horizontal="left" vertical="top"/>
    </xf>
    <xf numFmtId="43" fontId="37" fillId="0" borderId="0" xfId="3" applyNumberFormat="1" applyFont="1" applyBorder="1">
      <alignment vertical="top"/>
    </xf>
    <xf numFmtId="0" fontId="37" fillId="0" borderId="41" xfId="3" applyFont="1" applyBorder="1" applyAlignment="1">
      <alignment horizontal="center" vertical="top"/>
    </xf>
    <xf numFmtId="0" fontId="38" fillId="0" borderId="0" xfId="3" applyFont="1" applyBorder="1" applyAlignment="1">
      <alignment horizontal="left" vertical="top"/>
    </xf>
    <xf numFmtId="0" fontId="37" fillId="0" borderId="43" xfId="3" applyFont="1" applyBorder="1" applyAlignment="1">
      <alignment horizontal="left" vertical="top"/>
    </xf>
    <xf numFmtId="0" fontId="37" fillId="0" borderId="44" xfId="3" applyFont="1" applyBorder="1" applyAlignment="1">
      <alignment horizontal="center" vertical="top"/>
    </xf>
    <xf numFmtId="0" fontId="37" fillId="0" borderId="44" xfId="3" applyFont="1" applyBorder="1" applyAlignment="1">
      <alignment vertical="top"/>
    </xf>
    <xf numFmtId="0" fontId="37" fillId="0" borderId="44" xfId="3" applyFont="1" applyBorder="1">
      <alignment vertical="top"/>
    </xf>
    <xf numFmtId="0" fontId="15" fillId="0" borderId="45" xfId="0" applyFont="1" applyBorder="1"/>
    <xf numFmtId="49" fontId="3" fillId="0" borderId="0" xfId="0" quotePrefix="1" applyNumberFormat="1" applyFont="1" applyAlignment="1">
      <alignment horizontal="left"/>
    </xf>
    <xf numFmtId="0" fontId="39" fillId="0" borderId="0" xfId="0" applyFont="1"/>
    <xf numFmtId="0" fontId="3" fillId="0" borderId="0" xfId="0" applyFont="1" applyAlignment="1">
      <alignment horizontal="center" wrapText="1"/>
    </xf>
    <xf numFmtId="43" fontId="3" fillId="0" borderId="0" xfId="1" applyFont="1" applyAlignment="1">
      <alignment wrapText="1"/>
    </xf>
    <xf numFmtId="0" fontId="3" fillId="0" borderId="0" xfId="0" applyFont="1" applyAlignment="1">
      <alignment wrapText="1"/>
    </xf>
    <xf numFmtId="0" fontId="2" fillId="0" borderId="0" xfId="0" applyFont="1" applyAlignment="1">
      <alignment vertical="center" wrapText="1"/>
    </xf>
    <xf numFmtId="0" fontId="2" fillId="0" borderId="0" xfId="0" applyFont="1" applyAlignment="1">
      <alignment wrapText="1"/>
    </xf>
    <xf numFmtId="0" fontId="2" fillId="0" borderId="0" xfId="0" applyFont="1" applyAlignment="1">
      <alignment vertical="top" wrapText="1"/>
    </xf>
    <xf numFmtId="0" fontId="41" fillId="19" borderId="2" xfId="0" applyFont="1" applyFill="1" applyBorder="1" applyAlignment="1">
      <alignment horizontal="center" vertical="top" wrapText="1"/>
    </xf>
    <xf numFmtId="0" fontId="41" fillId="2" borderId="2"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188" fontId="3" fillId="0" borderId="2" xfId="1" applyNumberFormat="1" applyFont="1" applyFill="1" applyBorder="1" applyAlignment="1">
      <alignment horizontal="right" vertical="center" wrapText="1"/>
    </xf>
    <xf numFmtId="0" fontId="3" fillId="0" borderId="0" xfId="0" applyFont="1" applyFill="1" applyAlignment="1">
      <alignment vertical="center" wrapText="1"/>
    </xf>
    <xf numFmtId="0" fontId="3" fillId="0" borderId="2" xfId="0" applyFont="1" applyFill="1" applyBorder="1" applyAlignment="1">
      <alignment horizontal="center" vertical="center"/>
    </xf>
    <xf numFmtId="188" fontId="3" fillId="0" borderId="2" xfId="1" applyNumberFormat="1" applyFont="1" applyFill="1" applyBorder="1" applyAlignment="1">
      <alignment horizontal="right" vertical="center"/>
    </xf>
    <xf numFmtId="0" fontId="3" fillId="0" borderId="0" xfId="0" applyFont="1" applyFill="1" applyAlignment="1">
      <alignment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188" fontId="3" fillId="0" borderId="2" xfId="1" applyNumberFormat="1" applyFont="1" applyBorder="1" applyAlignment="1">
      <alignment horizontal="right" vertical="center"/>
    </xf>
    <xf numFmtId="0" fontId="3" fillId="0" borderId="0" xfId="0" applyFont="1" applyAlignment="1">
      <alignment vertical="center"/>
    </xf>
    <xf numFmtId="188" fontId="2" fillId="14" borderId="11" xfId="1" applyNumberFormat="1" applyFont="1" applyFill="1" applyBorder="1" applyAlignment="1">
      <alignment horizontal="right" shrinkToFit="1"/>
    </xf>
    <xf numFmtId="188" fontId="2" fillId="17" borderId="11" xfId="1" applyNumberFormat="1" applyFont="1" applyFill="1" applyBorder="1" applyAlignment="1">
      <alignment horizontal="right" shrinkToFit="1"/>
    </xf>
    <xf numFmtId="188" fontId="2" fillId="18" borderId="11" xfId="1" applyNumberFormat="1" applyFont="1" applyFill="1" applyBorder="1" applyAlignment="1">
      <alignment horizontal="right" shrinkToFit="1"/>
    </xf>
    <xf numFmtId="188" fontId="2" fillId="16" borderId="11" xfId="1" applyNumberFormat="1" applyFont="1" applyFill="1" applyBorder="1" applyAlignment="1">
      <alignment horizontal="right" shrinkToFit="1"/>
    </xf>
    <xf numFmtId="0" fontId="3" fillId="0" borderId="0" xfId="0" applyFont="1" applyAlignment="1"/>
    <xf numFmtId="0" fontId="44" fillId="0" borderId="0" xfId="0" applyFont="1" applyAlignment="1">
      <alignment horizontal="center"/>
    </xf>
    <xf numFmtId="43" fontId="44" fillId="0" borderId="0" xfId="1" applyFont="1"/>
    <xf numFmtId="0" fontId="44" fillId="0" borderId="0" xfId="0" applyFont="1"/>
    <xf numFmtId="0" fontId="44" fillId="0" borderId="0" xfId="0" applyFont="1" applyBorder="1" applyAlignment="1">
      <alignment horizontal="center" vertical="center"/>
    </xf>
    <xf numFmtId="43" fontId="44" fillId="0" borderId="0" xfId="1" applyFont="1" applyBorder="1" applyAlignment="1">
      <alignment vertical="center"/>
    </xf>
    <xf numFmtId="0" fontId="46" fillId="0" borderId="0" xfId="0" applyFont="1"/>
    <xf numFmtId="0" fontId="46" fillId="0" borderId="0" xfId="0" applyFont="1" applyAlignment="1">
      <alignment horizontal="center" wrapText="1"/>
    </xf>
    <xf numFmtId="187" fontId="46" fillId="0" borderId="0" xfId="0" applyNumberFormat="1" applyFont="1" applyAlignment="1">
      <alignment horizontal="center" wrapText="1"/>
    </xf>
    <xf numFmtId="0" fontId="46" fillId="0" borderId="0" xfId="0" applyFont="1" applyAlignment="1">
      <alignment horizontal="left" wrapText="1"/>
    </xf>
    <xf numFmtId="0" fontId="46" fillId="0" borderId="0" xfId="0" applyFont="1" applyAlignment="1">
      <alignment wrapText="1"/>
    </xf>
    <xf numFmtId="43" fontId="46" fillId="0" borderId="0" xfId="1" applyFont="1" applyAlignment="1">
      <alignment wrapText="1"/>
    </xf>
    <xf numFmtId="0" fontId="47" fillId="0" borderId="0" xfId="0" applyFont="1" applyAlignment="1">
      <alignment vertical="center" wrapText="1"/>
    </xf>
    <xf numFmtId="0" fontId="47" fillId="0" borderId="0" xfId="0" applyFont="1" applyAlignment="1">
      <alignment wrapText="1"/>
    </xf>
    <xf numFmtId="0" fontId="47" fillId="0" borderId="0" xfId="0" applyFont="1" applyAlignment="1">
      <alignment vertical="top" wrapText="1"/>
    </xf>
    <xf numFmtId="0" fontId="47" fillId="19" borderId="2" xfId="0" applyFont="1" applyFill="1" applyBorder="1" applyAlignment="1">
      <alignment horizontal="center" vertical="top" wrapText="1"/>
    </xf>
    <xf numFmtId="0" fontId="47" fillId="2" borderId="2" xfId="0" applyFont="1" applyFill="1" applyBorder="1" applyAlignment="1">
      <alignment horizontal="center" vertical="top" wrapText="1"/>
    </xf>
    <xf numFmtId="0" fontId="47" fillId="20" borderId="46" xfId="0" applyFont="1" applyFill="1" applyBorder="1" applyAlignment="1">
      <alignment horizontal="left" vertical="center"/>
    </xf>
    <xf numFmtId="187" fontId="47" fillId="20" borderId="2" xfId="0" applyNumberFormat="1" applyFont="1" applyFill="1" applyBorder="1" applyAlignment="1">
      <alignment horizontal="center" vertical="center" wrapText="1"/>
    </xf>
    <xf numFmtId="0" fontId="47" fillId="20" borderId="2" xfId="0" applyFont="1" applyFill="1" applyBorder="1" applyAlignment="1">
      <alignment horizontal="center" vertical="center" wrapText="1"/>
    </xf>
    <xf numFmtId="0" fontId="47" fillId="20" borderId="6" xfId="0" applyFont="1" applyFill="1" applyBorder="1" applyAlignment="1">
      <alignment horizontal="center" vertical="center" wrapText="1"/>
    </xf>
    <xf numFmtId="43" fontId="47" fillId="20" borderId="2" xfId="1" applyFont="1" applyFill="1" applyBorder="1" applyAlignment="1">
      <alignment horizontal="center" vertical="center" wrapText="1"/>
    </xf>
    <xf numFmtId="0" fontId="47" fillId="0" borderId="0" xfId="0" applyFont="1" applyFill="1" applyAlignment="1">
      <alignment vertical="center" wrapText="1"/>
    </xf>
    <xf numFmtId="0" fontId="47" fillId="0" borderId="0" xfId="0" applyFont="1" applyFill="1" applyAlignment="1">
      <alignment wrapText="1"/>
    </xf>
    <xf numFmtId="0" fontId="46" fillId="0" borderId="2" xfId="0" applyFont="1" applyFill="1" applyBorder="1" applyAlignment="1">
      <alignment horizontal="center" vertical="top"/>
    </xf>
    <xf numFmtId="187" fontId="46" fillId="0" borderId="2" xfId="0" applyNumberFormat="1" applyFont="1" applyFill="1" applyBorder="1" applyAlignment="1">
      <alignment horizontal="center" vertical="top" shrinkToFit="1"/>
    </xf>
    <xf numFmtId="0" fontId="46" fillId="0" borderId="2" xfId="0" applyFont="1" applyFill="1" applyBorder="1" applyAlignment="1">
      <alignment horizontal="center" vertical="top" shrinkToFit="1"/>
    </xf>
    <xf numFmtId="0" fontId="46" fillId="0" borderId="2" xfId="0" applyFont="1" applyFill="1" applyBorder="1" applyAlignment="1">
      <alignment horizontal="left" vertical="top"/>
    </xf>
    <xf numFmtId="0" fontId="46" fillId="0" borderId="2" xfId="0" applyFont="1" applyFill="1" applyBorder="1" applyAlignment="1">
      <alignment horizontal="left" vertical="top" wrapText="1"/>
    </xf>
    <xf numFmtId="0" fontId="46" fillId="0" borderId="2" xfId="0" applyFont="1" applyFill="1" applyBorder="1" applyAlignment="1">
      <alignment vertical="top" wrapText="1"/>
    </xf>
    <xf numFmtId="43" fontId="46" fillId="0" borderId="2" xfId="1" applyFont="1" applyFill="1" applyBorder="1" applyAlignment="1">
      <alignment vertical="top"/>
    </xf>
    <xf numFmtId="0" fontId="46" fillId="0" borderId="0" xfId="0" applyFont="1" applyFill="1" applyAlignment="1">
      <alignment vertical="top"/>
    </xf>
    <xf numFmtId="0" fontId="46" fillId="0" borderId="0" xfId="0" applyFont="1" applyFill="1" applyAlignment="1"/>
    <xf numFmtId="43" fontId="52" fillId="0" borderId="2" xfId="1" applyFont="1" applyFill="1" applyBorder="1" applyAlignment="1">
      <alignment horizontal="center" vertical="top"/>
    </xf>
    <xf numFmtId="0" fontId="47" fillId="20" borderId="2" xfId="0" applyFont="1" applyFill="1" applyBorder="1" applyAlignment="1">
      <alignment horizontal="left" vertical="top"/>
    </xf>
    <xf numFmtId="187" fontId="47" fillId="20" borderId="2" xfId="0" applyNumberFormat="1" applyFont="1" applyFill="1" applyBorder="1" applyAlignment="1">
      <alignment horizontal="center" vertical="top" shrinkToFit="1"/>
    </xf>
    <xf numFmtId="0" fontId="47" fillId="20" borderId="2" xfId="0" applyFont="1" applyFill="1" applyBorder="1" applyAlignment="1">
      <alignment horizontal="center" vertical="top" shrinkToFit="1"/>
    </xf>
    <xf numFmtId="0" fontId="47" fillId="20" borderId="2" xfId="0" applyFont="1" applyFill="1" applyBorder="1" applyAlignment="1">
      <alignment horizontal="center" vertical="top"/>
    </xf>
    <xf numFmtId="0" fontId="47" fillId="20" borderId="2" xfId="0" applyFont="1" applyFill="1" applyBorder="1" applyAlignment="1">
      <alignment horizontal="left" vertical="top" wrapText="1"/>
    </xf>
    <xf numFmtId="0" fontId="47" fillId="20" borderId="2" xfId="0" applyFont="1" applyFill="1" applyBorder="1" applyAlignment="1">
      <alignment vertical="top" wrapText="1"/>
    </xf>
    <xf numFmtId="43" fontId="47" fillId="20" borderId="2" xfId="1" applyFont="1" applyFill="1" applyBorder="1" applyAlignment="1">
      <alignment vertical="top"/>
    </xf>
    <xf numFmtId="43" fontId="54" fillId="0" borderId="2" xfId="1" applyFont="1" applyFill="1" applyBorder="1" applyAlignment="1">
      <alignment horizontal="center" vertical="top"/>
    </xf>
    <xf numFmtId="43" fontId="47" fillId="0" borderId="11" xfId="1" applyFont="1" applyFill="1" applyBorder="1" applyAlignment="1">
      <alignment shrinkToFit="1"/>
    </xf>
    <xf numFmtId="0" fontId="47" fillId="0" borderId="0" xfId="0" applyFont="1" applyFill="1" applyAlignment="1"/>
    <xf numFmtId="0" fontId="46" fillId="0" borderId="0" xfId="0" applyFont="1" applyAlignment="1">
      <alignment horizontal="center"/>
    </xf>
    <xf numFmtId="187" fontId="46" fillId="0" borderId="0" xfId="0" applyNumberFormat="1" applyFont="1" applyAlignment="1">
      <alignment horizontal="center"/>
    </xf>
    <xf numFmtId="0" fontId="46" fillId="0" borderId="0" xfId="0" applyFont="1" applyAlignment="1">
      <alignment horizontal="left"/>
    </xf>
    <xf numFmtId="43" fontId="46" fillId="0" borderId="0" xfId="1" applyFont="1"/>
    <xf numFmtId="43" fontId="57" fillId="0" borderId="0" xfId="1" applyFont="1" applyBorder="1" applyAlignment="1">
      <alignment vertical="center"/>
    </xf>
    <xf numFmtId="0" fontId="58" fillId="0" borderId="2" xfId="0" applyFont="1" applyFill="1" applyBorder="1" applyAlignment="1">
      <alignment horizontal="center" vertical="top"/>
    </xf>
    <xf numFmtId="0" fontId="24" fillId="0" borderId="0" xfId="0" applyFont="1" applyFill="1" applyAlignment="1">
      <alignment horizontal="left"/>
    </xf>
    <xf numFmtId="43" fontId="46" fillId="0" borderId="0" xfId="0" applyNumberFormat="1" applyFont="1" applyAlignment="1">
      <alignment wrapText="1"/>
    </xf>
    <xf numFmtId="0" fontId="58" fillId="0" borderId="2" xfId="0" applyFont="1" applyFill="1" applyBorder="1" applyAlignment="1">
      <alignment horizontal="left" vertical="top" wrapText="1"/>
    </xf>
    <xf numFmtId="0" fontId="58" fillId="0" borderId="2" xfId="0" applyFont="1" applyFill="1" applyBorder="1" applyAlignment="1">
      <alignment vertical="top" wrapText="1"/>
    </xf>
    <xf numFmtId="0" fontId="58" fillId="0" borderId="0" xfId="0" applyFont="1" applyFill="1" applyAlignment="1">
      <alignment vertical="top"/>
    </xf>
    <xf numFmtId="187" fontId="58" fillId="0" borderId="2" xfId="0" applyNumberFormat="1" applyFont="1" applyFill="1" applyBorder="1" applyAlignment="1">
      <alignment horizontal="center" vertical="top" shrinkToFit="1"/>
    </xf>
    <xf numFmtId="0" fontId="58" fillId="0" borderId="2" xfId="0" applyFont="1" applyFill="1" applyBorder="1" applyAlignment="1">
      <alignment horizontal="center" vertical="top" wrapText="1" shrinkToFit="1"/>
    </xf>
    <xf numFmtId="43" fontId="58" fillId="0" borderId="2" xfId="1" applyFont="1" applyFill="1" applyBorder="1" applyAlignment="1">
      <alignment vertical="top" wrapText="1"/>
    </xf>
    <xf numFmtId="43" fontId="3" fillId="0" borderId="0" xfId="1" applyFont="1" applyFill="1" applyAlignment="1">
      <alignment vertical="center" wrapText="1"/>
    </xf>
    <xf numFmtId="43" fontId="3" fillId="0" borderId="0" xfId="1" applyFont="1" applyFill="1" applyAlignment="1">
      <alignment vertical="center"/>
    </xf>
    <xf numFmtId="43" fontId="3" fillId="0" borderId="0" xfId="1" applyFont="1" applyAlignment="1">
      <alignment vertical="center"/>
    </xf>
    <xf numFmtId="43" fontId="3" fillId="0" borderId="0" xfId="1" applyFont="1" applyAlignment="1"/>
    <xf numFmtId="0" fontId="46" fillId="0" borderId="0" xfId="0" applyFont="1" applyAlignment="1"/>
    <xf numFmtId="0" fontId="47" fillId="0" borderId="0" xfId="0" applyFont="1" applyAlignment="1">
      <alignment vertical="center"/>
    </xf>
    <xf numFmtId="0" fontId="47" fillId="0" borderId="0" xfId="0" applyFont="1" applyAlignment="1"/>
    <xf numFmtId="0" fontId="47" fillId="0" borderId="0" xfId="0" applyFont="1" applyAlignment="1">
      <alignment vertical="top"/>
    </xf>
    <xf numFmtId="0" fontId="47" fillId="21" borderId="2" xfId="0" applyFont="1" applyFill="1" applyBorder="1" applyAlignment="1">
      <alignment horizontal="left" vertical="top"/>
    </xf>
    <xf numFmtId="187" fontId="47" fillId="21" borderId="2" xfId="0" applyNumberFormat="1" applyFont="1" applyFill="1" applyBorder="1" applyAlignment="1">
      <alignment horizontal="center" vertical="top" shrinkToFit="1"/>
    </xf>
    <xf numFmtId="0" fontId="47" fillId="21" borderId="2" xfId="0" applyFont="1" applyFill="1" applyBorder="1" applyAlignment="1">
      <alignment horizontal="center" vertical="top" wrapText="1" shrinkToFit="1"/>
    </xf>
    <xf numFmtId="0" fontId="47" fillId="21" borderId="2" xfId="0" applyFont="1" applyFill="1" applyBorder="1" applyAlignment="1">
      <alignment horizontal="left" vertical="top" wrapText="1"/>
    </xf>
    <xf numFmtId="0" fontId="47" fillId="21" borderId="2" xfId="0" applyFont="1" applyFill="1" applyBorder="1" applyAlignment="1">
      <alignment vertical="top" wrapText="1"/>
    </xf>
    <xf numFmtId="43" fontId="47" fillId="21" borderId="2" xfId="1" applyFont="1" applyFill="1" applyBorder="1" applyAlignment="1">
      <alignment vertical="top" wrapText="1"/>
    </xf>
    <xf numFmtId="43" fontId="47" fillId="21" borderId="2" xfId="1" applyFont="1" applyFill="1" applyBorder="1" applyAlignment="1">
      <alignment vertical="top"/>
    </xf>
    <xf numFmtId="0" fontId="47" fillId="0" borderId="0" xfId="0" applyFont="1" applyFill="1" applyAlignment="1">
      <alignment vertical="top"/>
    </xf>
    <xf numFmtId="0" fontId="46" fillId="0" borderId="2" xfId="0" applyFont="1" applyFill="1" applyBorder="1" applyAlignment="1">
      <alignment horizontal="center" vertical="top" wrapText="1" shrinkToFit="1"/>
    </xf>
    <xf numFmtId="43" fontId="46" fillId="0" borderId="2" xfId="1" applyFont="1" applyFill="1" applyBorder="1" applyAlignment="1">
      <alignment vertical="top" wrapText="1"/>
    </xf>
    <xf numFmtId="43" fontId="52" fillId="0" borderId="2" xfId="1" applyFont="1" applyFill="1" applyBorder="1" applyAlignment="1">
      <alignment horizontal="center" vertical="top" wrapText="1"/>
    </xf>
    <xf numFmtId="0" fontId="54" fillId="0" borderId="2" xfId="0" applyFont="1" applyFill="1" applyBorder="1" applyAlignment="1">
      <alignment horizontal="center" vertical="top" wrapText="1" shrinkToFit="1"/>
    </xf>
    <xf numFmtId="188" fontId="47" fillId="0" borderId="11" xfId="1" applyNumberFormat="1" applyFont="1" applyFill="1" applyBorder="1" applyAlignment="1">
      <alignment wrapText="1" shrinkToFit="1"/>
    </xf>
    <xf numFmtId="188" fontId="47" fillId="0" borderId="11" xfId="1" applyNumberFormat="1" applyFont="1" applyFill="1" applyBorder="1" applyAlignment="1">
      <alignment shrinkToFit="1"/>
    </xf>
    <xf numFmtId="43" fontId="46" fillId="0" borderId="0" xfId="0" applyNumberFormat="1" applyFont="1" applyAlignment="1"/>
    <xf numFmtId="0" fontId="47" fillId="19" borderId="3" xfId="0" applyFont="1" applyFill="1" applyBorder="1" applyAlignment="1">
      <alignment horizontal="center" vertical="top" wrapText="1"/>
    </xf>
    <xf numFmtId="0" fontId="47" fillId="2" borderId="3" xfId="0" applyFont="1" applyFill="1" applyBorder="1" applyAlignment="1">
      <alignment horizontal="center" vertical="top" wrapText="1"/>
    </xf>
    <xf numFmtId="0" fontId="62" fillId="0" borderId="0" xfId="0" applyFont="1" applyFill="1" applyAlignment="1"/>
    <xf numFmtId="0" fontId="24" fillId="0" borderId="0" xfId="0" applyFont="1" applyAlignment="1">
      <alignment horizontal="center"/>
    </xf>
    <xf numFmtId="49" fontId="4" fillId="22" borderId="2" xfId="0" applyNumberFormat="1" applyFont="1" applyFill="1" applyBorder="1" applyAlignment="1">
      <alignment horizontal="center" vertical="center"/>
    </xf>
    <xf numFmtId="43" fontId="4" fillId="0" borderId="2" xfId="1" applyNumberFormat="1" applyFont="1" applyFill="1" applyBorder="1" applyAlignment="1" applyProtection="1">
      <alignment horizontal="left"/>
    </xf>
    <xf numFmtId="0" fontId="24" fillId="0" borderId="0" xfId="0" applyFont="1" applyFill="1" applyAlignment="1"/>
    <xf numFmtId="0" fontId="3" fillId="0" borderId="12" xfId="0" applyFont="1" applyFill="1" applyBorder="1" applyAlignment="1">
      <alignment horizontal="left" vertical="center"/>
    </xf>
    <xf numFmtId="43" fontId="24" fillId="0" borderId="3" xfId="1" applyFont="1" applyFill="1" applyBorder="1" applyAlignment="1">
      <alignment vertical="top"/>
    </xf>
    <xf numFmtId="43" fontId="4" fillId="0" borderId="11" xfId="1" applyNumberFormat="1" applyFont="1" applyBorder="1" applyAlignment="1" applyProtection="1"/>
    <xf numFmtId="43" fontId="4" fillId="14" borderId="11" xfId="1" applyNumberFormat="1" applyFont="1" applyFill="1" applyBorder="1" applyAlignment="1" applyProtection="1"/>
    <xf numFmtId="0" fontId="4" fillId="0" borderId="0" xfId="0" applyFont="1" applyAlignment="1"/>
    <xf numFmtId="0" fontId="4" fillId="0" borderId="0" xfId="0" applyFont="1" applyBorder="1" applyAlignment="1" applyProtection="1">
      <alignment horizontal="center"/>
    </xf>
    <xf numFmtId="43" fontId="4" fillId="0" borderId="0" xfId="1" applyNumberFormat="1" applyFont="1" applyBorder="1" applyAlignment="1" applyProtection="1"/>
    <xf numFmtId="0" fontId="63" fillId="0" borderId="0" xfId="0" applyFont="1" applyFill="1" applyAlignment="1"/>
    <xf numFmtId="0" fontId="63" fillId="0" borderId="0" xfId="0" applyFont="1" applyFill="1" applyAlignment="1">
      <alignment horizontal="left"/>
    </xf>
    <xf numFmtId="0" fontId="63" fillId="0" borderId="0" xfId="0" applyFont="1" applyFill="1" applyAlignment="1">
      <alignment horizontal="center"/>
    </xf>
    <xf numFmtId="0" fontId="3" fillId="0" borderId="5" xfId="0" applyFont="1" applyBorder="1" applyAlignment="1">
      <alignment horizontal="left" vertical="center"/>
    </xf>
    <xf numFmtId="188" fontId="3" fillId="0" borderId="3" xfId="1" applyNumberFormat="1" applyFont="1" applyBorder="1" applyAlignment="1">
      <alignment horizontal="right" vertical="center"/>
    </xf>
    <xf numFmtId="188" fontId="3" fillId="0" borderId="3" xfId="1" applyNumberFormat="1" applyFont="1" applyFill="1" applyBorder="1" applyAlignment="1">
      <alignment horizontal="right" vertical="center" wrapText="1"/>
    </xf>
    <xf numFmtId="0" fontId="24" fillId="0" borderId="2" xfId="0" applyFont="1" applyBorder="1" applyAlignment="1">
      <alignment horizontal="left" vertical="center"/>
    </xf>
    <xf numFmtId="188" fontId="24" fillId="0" borderId="2" xfId="1" applyNumberFormat="1" applyFont="1" applyBorder="1" applyAlignment="1">
      <alignment horizontal="right" vertical="center"/>
    </xf>
    <xf numFmtId="188" fontId="24" fillId="0" borderId="2" xfId="1" applyNumberFormat="1" applyFont="1" applyFill="1" applyBorder="1" applyAlignment="1">
      <alignment horizontal="right" vertical="center" wrapText="1"/>
    </xf>
    <xf numFmtId="0" fontId="24" fillId="0" borderId="0" xfId="0" applyFont="1" applyAlignment="1">
      <alignment vertical="center"/>
    </xf>
    <xf numFmtId="0" fontId="24" fillId="0" borderId="2" xfId="0" applyFont="1" applyFill="1" applyBorder="1" applyAlignment="1">
      <alignment horizontal="left" vertical="center"/>
    </xf>
    <xf numFmtId="188" fontId="24" fillId="0" borderId="2" xfId="1" applyNumberFormat="1" applyFont="1" applyFill="1" applyBorder="1" applyAlignment="1">
      <alignment horizontal="right" vertical="center"/>
    </xf>
    <xf numFmtId="0" fontId="24" fillId="0" borderId="0" xfId="0" applyFont="1" applyFill="1" applyAlignment="1">
      <alignment vertical="center"/>
    </xf>
    <xf numFmtId="0" fontId="64" fillId="0" borderId="0" xfId="0" applyFont="1" applyAlignment="1">
      <alignment wrapText="1"/>
    </xf>
    <xf numFmtId="0" fontId="41" fillId="2" borderId="3" xfId="0" applyFont="1" applyFill="1" applyBorder="1" applyAlignment="1">
      <alignment horizontal="center" vertical="top" wrapText="1"/>
    </xf>
    <xf numFmtId="43" fontId="24" fillId="0" borderId="0" xfId="1" applyFont="1" applyFill="1" applyAlignment="1"/>
    <xf numFmtId="43" fontId="24" fillId="0" borderId="0" xfId="0" applyNumberFormat="1" applyFont="1" applyFill="1" applyAlignment="1"/>
    <xf numFmtId="43" fontId="4" fillId="0" borderId="0" xfId="1" applyFont="1" applyAlignment="1"/>
    <xf numFmtId="0" fontId="46" fillId="0" borderId="2" xfId="0" applyFont="1" applyBorder="1" applyAlignment="1">
      <alignment horizontal="left" vertical="top" wrapText="1"/>
    </xf>
    <xf numFmtId="0" fontId="46" fillId="0" borderId="2" xfId="0" applyFont="1" applyBorder="1" applyAlignment="1">
      <alignment vertical="top" wrapText="1"/>
    </xf>
    <xf numFmtId="0" fontId="57" fillId="0" borderId="0" xfId="0" applyFont="1" applyBorder="1" applyAlignment="1">
      <alignment horizontal="center" vertical="center"/>
    </xf>
    <xf numFmtId="187" fontId="46" fillId="0" borderId="2" xfId="0" applyNumberFormat="1" applyFont="1" applyBorder="1" applyAlignment="1">
      <alignment horizontal="center" vertical="top" shrinkToFit="1"/>
    </xf>
    <xf numFmtId="0" fontId="46" fillId="0" borderId="2" xfId="0" applyFont="1" applyBorder="1" applyAlignment="1">
      <alignment horizontal="center" vertical="top" wrapText="1"/>
    </xf>
    <xf numFmtId="0" fontId="46" fillId="0" borderId="2" xfId="0" applyFont="1" applyBorder="1" applyAlignment="1">
      <alignment horizontal="center" vertical="top" wrapText="1" shrinkToFit="1"/>
    </xf>
    <xf numFmtId="0" fontId="46" fillId="0" borderId="0" xfId="0" applyFont="1" applyAlignment="1">
      <alignment vertical="top" wrapText="1"/>
    </xf>
    <xf numFmtId="0" fontId="54" fillId="21" borderId="2" xfId="0" applyFont="1" applyFill="1" applyBorder="1" applyAlignment="1">
      <alignment horizontal="left" vertical="top"/>
    </xf>
    <xf numFmtId="0" fontId="58" fillId="0" borderId="2" xfId="0" applyFont="1" applyBorder="1" applyAlignment="1">
      <alignment horizontal="center" vertical="top" wrapText="1" shrinkToFit="1"/>
    </xf>
    <xf numFmtId="0" fontId="58" fillId="0" borderId="2" xfId="0" applyFont="1" applyBorder="1" applyAlignment="1">
      <alignment horizontal="left" vertical="top" wrapText="1"/>
    </xf>
    <xf numFmtId="0" fontId="58" fillId="0" borderId="2" xfId="0" applyFont="1" applyBorder="1" applyAlignment="1">
      <alignment vertical="top" wrapText="1"/>
    </xf>
    <xf numFmtId="0" fontId="54" fillId="21" borderId="2" xfId="0" applyFont="1" applyFill="1" applyBorder="1" applyAlignment="1">
      <alignment horizontal="center" vertical="top" wrapText="1" shrinkToFit="1"/>
    </xf>
    <xf numFmtId="0" fontId="54" fillId="21" borderId="2" xfId="0" applyFont="1" applyFill="1" applyBorder="1" applyAlignment="1">
      <alignment horizontal="left" vertical="top" wrapText="1"/>
    </xf>
    <xf numFmtId="0" fontId="54" fillId="21" borderId="2" xfId="0" applyFont="1" applyFill="1" applyBorder="1" applyAlignment="1">
      <alignment vertical="top" wrapText="1"/>
    </xf>
    <xf numFmtId="0" fontId="62" fillId="0" borderId="0" xfId="0" applyFont="1" applyFill="1" applyBorder="1" applyAlignment="1" applyProtection="1">
      <alignment horizontal="center"/>
      <protection locked="0"/>
    </xf>
    <xf numFmtId="0" fontId="26" fillId="0" borderId="0" xfId="0" applyFont="1" applyAlignment="1"/>
    <xf numFmtId="43" fontId="26" fillId="0" borderId="2" xfId="1" applyFont="1" applyBorder="1" applyAlignment="1">
      <alignment vertical="top" wrapText="1"/>
    </xf>
    <xf numFmtId="0" fontId="26" fillId="0" borderId="2" xfId="0" applyFont="1" applyBorder="1" applyAlignment="1">
      <alignment horizontal="center" vertical="top" wrapText="1"/>
    </xf>
    <xf numFmtId="187" fontId="26" fillId="0" borderId="2" xfId="0" applyNumberFormat="1" applyFont="1" applyBorder="1" applyAlignment="1">
      <alignment horizontal="center" vertical="top" shrinkToFit="1"/>
    </xf>
    <xf numFmtId="0" fontId="26" fillId="0" borderId="2" xfId="0" applyFont="1" applyBorder="1" applyAlignment="1">
      <alignment horizontal="center" vertical="top" shrinkToFit="1"/>
    </xf>
    <xf numFmtId="0" fontId="26" fillId="0" borderId="2" xfId="0" applyFont="1" applyBorder="1" applyAlignment="1">
      <alignment horizontal="left" vertical="top"/>
    </xf>
    <xf numFmtId="0" fontId="26" fillId="0" borderId="2" xfId="0" applyFont="1" applyBorder="1" applyAlignment="1">
      <alignment vertical="top"/>
    </xf>
    <xf numFmtId="43" fontId="31" fillId="0" borderId="2" xfId="1" applyFont="1" applyBorder="1" applyAlignment="1">
      <alignment horizontal="center" vertical="top" wrapText="1"/>
    </xf>
    <xf numFmtId="0" fontId="31" fillId="0" borderId="2" xfId="0" applyFont="1" applyBorder="1" applyAlignment="1">
      <alignment horizontal="center" vertical="top" shrinkToFit="1"/>
    </xf>
    <xf numFmtId="14" fontId="26" fillId="0" borderId="2" xfId="0" applyNumberFormat="1" applyFont="1" applyBorder="1" applyAlignment="1">
      <alignment vertical="top"/>
    </xf>
    <xf numFmtId="0" fontId="33" fillId="0" borderId="2" xfId="0" applyFont="1" applyBorder="1" applyAlignment="1">
      <alignment horizontal="center" vertical="top" shrinkToFit="1"/>
    </xf>
    <xf numFmtId="43" fontId="26" fillId="0" borderId="2" xfId="1" applyFont="1" applyBorder="1" applyAlignment="1">
      <alignment horizontal="center" vertical="top" wrapText="1"/>
    </xf>
    <xf numFmtId="0" fontId="27" fillId="0" borderId="0" xfId="0" applyFont="1" applyFill="1" applyAlignment="1">
      <alignment vertical="center" wrapText="1"/>
    </xf>
    <xf numFmtId="0" fontId="27" fillId="0" borderId="0" xfId="0" applyFont="1" applyFill="1" applyAlignment="1">
      <alignment wrapText="1"/>
    </xf>
    <xf numFmtId="0" fontId="27" fillId="11" borderId="3" xfId="0" applyFont="1" applyFill="1" applyBorder="1" applyAlignment="1">
      <alignment horizontal="center" vertical="top" wrapText="1"/>
    </xf>
    <xf numFmtId="0" fontId="27" fillId="23" borderId="2" xfId="0" applyFont="1" applyFill="1" applyBorder="1" applyAlignment="1">
      <alignment horizontal="left" vertical="top"/>
    </xf>
    <xf numFmtId="187" fontId="27" fillId="23" borderId="2" xfId="0" applyNumberFormat="1" applyFont="1" applyFill="1" applyBorder="1" applyAlignment="1">
      <alignment horizontal="center" vertical="top" shrinkToFit="1"/>
    </xf>
    <xf numFmtId="0" fontId="31" fillId="23" borderId="2" xfId="0" applyFont="1" applyFill="1" applyBorder="1" applyAlignment="1">
      <alignment horizontal="center" vertical="top" shrinkToFit="1"/>
    </xf>
    <xf numFmtId="0" fontId="27" fillId="23" borderId="2" xfId="0" applyFont="1" applyFill="1" applyBorder="1" applyAlignment="1">
      <alignment horizontal="center" vertical="top" shrinkToFit="1"/>
    </xf>
    <xf numFmtId="0" fontId="27" fillId="23" borderId="2" xfId="0" applyFont="1" applyFill="1" applyBorder="1" applyAlignment="1">
      <alignment vertical="top"/>
    </xf>
    <xf numFmtId="43" fontId="27" fillId="23" borderId="2" xfId="1" applyFont="1" applyFill="1" applyBorder="1" applyAlignment="1">
      <alignment vertical="top" wrapText="1"/>
    </xf>
    <xf numFmtId="14" fontId="27" fillId="23" borderId="2" xfId="0" applyNumberFormat="1" applyFont="1" applyFill="1" applyBorder="1" applyAlignment="1">
      <alignment vertical="top"/>
    </xf>
    <xf numFmtId="0" fontId="33" fillId="23" borderId="2" xfId="0" applyFont="1" applyFill="1" applyBorder="1" applyAlignment="1">
      <alignment horizontal="center" vertical="top" shrinkToFit="1"/>
    </xf>
    <xf numFmtId="187" fontId="27" fillId="23" borderId="2" xfId="0" applyNumberFormat="1" applyFont="1" applyFill="1" applyBorder="1" applyAlignment="1">
      <alignment horizontal="center" vertical="center" wrapText="1"/>
    </xf>
    <xf numFmtId="0" fontId="27" fillId="23" borderId="2" xfId="0" applyFont="1" applyFill="1" applyBorder="1" applyAlignment="1">
      <alignment horizontal="center" vertical="center"/>
    </xf>
    <xf numFmtId="43" fontId="27" fillId="23" borderId="2" xfId="1" applyFont="1" applyFill="1" applyBorder="1" applyAlignment="1">
      <alignment horizontal="center" vertical="center" wrapText="1"/>
    </xf>
    <xf numFmtId="43" fontId="67" fillId="0" borderId="2" xfId="1" applyFont="1" applyBorder="1" applyAlignment="1">
      <alignment horizontal="center" vertical="top" wrapText="1"/>
    </xf>
    <xf numFmtId="43" fontId="27" fillId="0" borderId="11" xfId="1" applyFont="1" applyBorder="1" applyAlignment="1">
      <alignment vertical="center" shrinkToFit="1"/>
    </xf>
    <xf numFmtId="0" fontId="46" fillId="0" borderId="0" xfId="0" applyFont="1" applyFill="1" applyAlignment="1">
      <alignment vertical="top" wrapText="1"/>
    </xf>
    <xf numFmtId="0" fontId="46" fillId="0" borderId="0" xfId="0" applyFont="1" applyFill="1"/>
    <xf numFmtId="43" fontId="47" fillId="0" borderId="11" xfId="1" applyFont="1" applyBorder="1" applyAlignment="1">
      <alignment vertical="center" shrinkToFit="1"/>
    </xf>
    <xf numFmtId="0" fontId="47" fillId="13" borderId="2" xfId="0" applyFont="1" applyFill="1" applyBorder="1" applyAlignment="1">
      <alignment horizontal="center" vertical="top" wrapText="1"/>
    </xf>
    <xf numFmtId="43" fontId="46" fillId="0" borderId="2" xfId="1" applyFont="1" applyFill="1" applyBorder="1" applyAlignment="1">
      <alignment horizontal="center" vertical="center" wrapText="1"/>
    </xf>
    <xf numFmtId="0" fontId="4" fillId="0" borderId="47" xfId="0" applyFont="1" applyBorder="1" applyAlignment="1" applyProtection="1">
      <alignment horizontal="center"/>
    </xf>
    <xf numFmtId="0" fontId="4" fillId="0" borderId="48" xfId="0" applyFont="1" applyBorder="1" applyAlignment="1" applyProtection="1">
      <alignment horizontal="center"/>
    </xf>
    <xf numFmtId="0" fontId="62" fillId="0" borderId="0" xfId="0" applyFont="1" applyFill="1" applyAlignment="1" applyProtection="1">
      <alignment horizontal="center"/>
      <protection locked="0"/>
    </xf>
    <xf numFmtId="0" fontId="62" fillId="0" borderId="0" xfId="0" applyFont="1" applyFill="1" applyBorder="1" applyAlignment="1" applyProtection="1">
      <alignment horizontal="center"/>
      <protection locked="0"/>
    </xf>
    <xf numFmtId="0" fontId="4" fillId="13" borderId="3" xfId="0" applyFont="1" applyFill="1" applyBorder="1" applyAlignment="1" applyProtection="1">
      <alignment horizontal="center" vertical="center"/>
    </xf>
    <xf numFmtId="0" fontId="4" fillId="13" borderId="6" xfId="0" applyFont="1" applyFill="1" applyBorder="1" applyAlignment="1" applyProtection="1">
      <alignment horizontal="center" vertical="center"/>
    </xf>
    <xf numFmtId="49" fontId="4" fillId="14" borderId="4" xfId="0" applyNumberFormat="1" applyFont="1" applyFill="1" applyBorder="1" applyAlignment="1">
      <alignment horizontal="center" vertical="center" wrapText="1"/>
    </xf>
    <xf numFmtId="49" fontId="4" fillId="14" borderId="13" xfId="0" applyNumberFormat="1" applyFont="1" applyFill="1" applyBorder="1" applyAlignment="1">
      <alignment horizontal="center" vertical="center" wrapText="1"/>
    </xf>
    <xf numFmtId="49" fontId="4" fillId="14" borderId="5" xfId="0" applyNumberFormat="1" applyFont="1" applyFill="1" applyBorder="1" applyAlignment="1">
      <alignment horizontal="center" vertical="center" wrapText="1"/>
    </xf>
    <xf numFmtId="49" fontId="4" fillId="14" borderId="3" xfId="0" applyNumberFormat="1" applyFont="1" applyFill="1" applyBorder="1" applyAlignment="1" applyProtection="1">
      <alignment horizontal="center" vertical="center"/>
    </xf>
    <xf numFmtId="49" fontId="4" fillId="14" borderId="6" xfId="0" applyNumberFormat="1" applyFont="1" applyFill="1" applyBorder="1" applyAlignment="1" applyProtection="1">
      <alignment horizontal="center" vertic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39" fillId="0" borderId="0" xfId="0" applyFont="1" applyAlignment="1">
      <alignment horizontal="center"/>
    </xf>
    <xf numFmtId="0" fontId="2" fillId="13" borderId="2" xfId="0" applyFont="1" applyFill="1" applyBorder="1" applyAlignment="1">
      <alignment horizontal="center" vertical="center" wrapText="1"/>
    </xf>
    <xf numFmtId="43" fontId="2" fillId="14" borderId="2" xfId="1" applyFont="1" applyFill="1" applyBorder="1" applyAlignment="1">
      <alignment horizontal="center" vertical="center" wrapText="1"/>
    </xf>
    <xf numFmtId="4" fontId="40" fillId="15" borderId="2" xfId="2" applyNumberFormat="1" applyFont="1" applyFill="1" applyBorder="1" applyAlignment="1">
      <alignment horizontal="center" vertical="center" wrapText="1"/>
    </xf>
    <xf numFmtId="0" fontId="2" fillId="16" borderId="3" xfId="0" applyFont="1" applyFill="1" applyBorder="1" applyAlignment="1">
      <alignment horizontal="center" vertical="center" wrapText="1"/>
    </xf>
    <xf numFmtId="0" fontId="2" fillId="16" borderId="10" xfId="0" applyFont="1" applyFill="1" applyBorder="1" applyAlignment="1">
      <alignment horizontal="center" vertical="center" wrapText="1"/>
    </xf>
    <xf numFmtId="0" fontId="2" fillId="16" borderId="6" xfId="0" applyFont="1" applyFill="1" applyBorder="1" applyAlignment="1">
      <alignment horizontal="center" vertical="center" wrapText="1"/>
    </xf>
    <xf numFmtId="4" fontId="40" fillId="17" borderId="4" xfId="2" applyNumberFormat="1" applyFont="1" applyFill="1" applyBorder="1" applyAlignment="1">
      <alignment horizontal="center" vertical="center" wrapText="1"/>
    </xf>
    <xf numFmtId="4" fontId="40" fillId="17" borderId="5" xfId="2" applyNumberFormat="1" applyFont="1" applyFill="1" applyBorder="1" applyAlignment="1">
      <alignment horizontal="center" vertical="center" wrapText="1"/>
    </xf>
    <xf numFmtId="4" fontId="40" fillId="18" borderId="4" xfId="2" applyNumberFormat="1" applyFont="1" applyFill="1" applyBorder="1" applyAlignment="1">
      <alignment horizontal="center" vertical="top" wrapText="1"/>
    </xf>
    <xf numFmtId="4" fontId="40" fillId="18" borderId="13" xfId="2" applyNumberFormat="1" applyFont="1" applyFill="1" applyBorder="1" applyAlignment="1">
      <alignment horizontal="center" vertical="top" wrapText="1"/>
    </xf>
    <xf numFmtId="4" fontId="40" fillId="18" borderId="5" xfId="2" applyNumberFormat="1" applyFont="1" applyFill="1" applyBorder="1" applyAlignment="1">
      <alignment horizontal="center" vertical="top" wrapText="1"/>
    </xf>
    <xf numFmtId="43" fontId="47" fillId="14" borderId="2" xfId="1" applyFont="1" applyFill="1" applyBorder="1" applyAlignment="1">
      <alignment horizontal="center" vertical="center" wrapText="1"/>
    </xf>
    <xf numFmtId="43" fontId="47" fillId="14" borderId="3" xfId="1" applyFont="1" applyFill="1" applyBorder="1" applyAlignment="1">
      <alignment horizontal="center" vertical="center" wrapText="1"/>
    </xf>
    <xf numFmtId="4" fontId="60" fillId="17" borderId="4" xfId="2" applyNumberFormat="1" applyFont="1" applyFill="1" applyBorder="1" applyAlignment="1">
      <alignment horizontal="center" vertical="center" wrapText="1"/>
    </xf>
    <xf numFmtId="4" fontId="60" fillId="17" borderId="5" xfId="2" applyNumberFormat="1" applyFont="1" applyFill="1" applyBorder="1" applyAlignment="1">
      <alignment horizontal="center" vertical="center" wrapText="1"/>
    </xf>
    <xf numFmtId="0" fontId="45" fillId="0" borderId="0" xfId="0" applyFont="1" applyAlignment="1">
      <alignment horizontal="center"/>
    </xf>
    <xf numFmtId="0" fontId="47" fillId="11" borderId="2" xfId="0" applyFont="1" applyFill="1" applyBorder="1" applyAlignment="1">
      <alignment horizontal="center" vertical="center" wrapText="1"/>
    </xf>
    <xf numFmtId="0" fontId="47" fillId="11" borderId="3" xfId="0" applyFont="1" applyFill="1" applyBorder="1" applyAlignment="1">
      <alignment horizontal="center" vertical="center" wrapText="1"/>
    </xf>
    <xf numFmtId="4" fontId="48" fillId="15" borderId="2" xfId="2" applyNumberFormat="1" applyFont="1" applyFill="1" applyBorder="1" applyAlignment="1">
      <alignment horizontal="center" vertical="center" wrapText="1"/>
    </xf>
    <xf numFmtId="0" fontId="47" fillId="16" borderId="2" xfId="0" applyFont="1" applyFill="1" applyBorder="1" applyAlignment="1">
      <alignment horizontal="center" vertical="center" wrapText="1"/>
    </xf>
    <xf numFmtId="0" fontId="47" fillId="16" borderId="3" xfId="0" applyFont="1" applyFill="1" applyBorder="1" applyAlignment="1">
      <alignment horizontal="center" vertical="center" wrapText="1"/>
    </xf>
    <xf numFmtId="187" fontId="47" fillId="11" borderId="2" xfId="0" applyNumberFormat="1" applyFont="1" applyFill="1" applyBorder="1" applyAlignment="1">
      <alignment horizontal="center" vertical="center" wrapText="1"/>
    </xf>
    <xf numFmtId="187" fontId="47" fillId="11" borderId="3" xfId="0" applyNumberFormat="1" applyFont="1" applyFill="1" applyBorder="1" applyAlignment="1">
      <alignment horizontal="center" vertical="center" wrapText="1"/>
    </xf>
    <xf numFmtId="0" fontId="47" fillId="11" borderId="2" xfId="0" applyFont="1" applyFill="1" applyBorder="1" applyAlignment="1">
      <alignment horizontal="center" vertical="center"/>
    </xf>
    <xf numFmtId="0" fontId="47" fillId="11" borderId="3" xfId="0" applyFont="1" applyFill="1" applyBorder="1" applyAlignment="1">
      <alignment horizontal="center" vertical="center"/>
    </xf>
    <xf numFmtId="4" fontId="48" fillId="18" borderId="2" xfId="2" applyNumberFormat="1" applyFont="1" applyFill="1" applyBorder="1" applyAlignment="1">
      <alignment horizontal="center" vertical="top" wrapText="1"/>
    </xf>
    <xf numFmtId="0" fontId="47" fillId="0" borderId="2" xfId="0" applyFont="1" applyFill="1" applyBorder="1" applyAlignment="1">
      <alignment horizontal="center"/>
    </xf>
    <xf numFmtId="0" fontId="47" fillId="16" borderId="2" xfId="0" applyFont="1" applyFill="1" applyBorder="1" applyAlignment="1">
      <alignment horizontal="center" vertical="center"/>
    </xf>
    <xf numFmtId="187" fontId="47" fillId="11" borderId="2" xfId="0" applyNumberFormat="1" applyFont="1" applyFill="1" applyBorder="1" applyAlignment="1">
      <alignment horizontal="center" vertical="center"/>
    </xf>
    <xf numFmtId="0" fontId="44" fillId="0" borderId="0" xfId="0" applyFont="1" applyBorder="1" applyAlignment="1">
      <alignment horizontal="center" vertical="center"/>
    </xf>
    <xf numFmtId="43" fontId="44" fillId="0" borderId="0" xfId="1" applyFont="1" applyBorder="1" applyAlignment="1">
      <alignment horizontal="center" vertical="center"/>
    </xf>
    <xf numFmtId="0" fontId="2" fillId="16" borderId="2" xfId="0" applyFont="1" applyFill="1" applyBorder="1" applyAlignment="1">
      <alignment horizontal="center" vertical="center" wrapText="1"/>
    </xf>
    <xf numFmtId="4" fontId="40" fillId="17" borderId="2" xfId="2" applyNumberFormat="1" applyFont="1" applyFill="1" applyBorder="1" applyAlignment="1">
      <alignment horizontal="center" vertical="top" wrapText="1"/>
    </xf>
    <xf numFmtId="4" fontId="40" fillId="18" borderId="2" xfId="2" applyNumberFormat="1" applyFont="1" applyFill="1" applyBorder="1" applyAlignment="1">
      <alignment horizontal="center" vertical="top" wrapText="1"/>
    </xf>
    <xf numFmtId="0" fontId="57" fillId="0" borderId="0" xfId="0" applyFont="1" applyBorder="1" applyAlignment="1">
      <alignment horizontal="center" vertical="center"/>
    </xf>
    <xf numFmtId="43" fontId="57" fillId="0" borderId="0" xfId="1" applyFont="1" applyBorder="1" applyAlignment="1">
      <alignment horizontal="center" vertical="center"/>
    </xf>
    <xf numFmtId="4" fontId="48" fillId="17" borderId="4" xfId="2" applyNumberFormat="1" applyFont="1" applyFill="1" applyBorder="1" applyAlignment="1">
      <alignment horizontal="center" vertical="top" wrapText="1"/>
    </xf>
    <xf numFmtId="4" fontId="48" fillId="17" borderId="5" xfId="2" applyNumberFormat="1" applyFont="1" applyFill="1" applyBorder="1" applyAlignment="1">
      <alignment horizontal="center" vertical="top" wrapText="1"/>
    </xf>
    <xf numFmtId="0" fontId="47" fillId="11" borderId="16" xfId="0" applyFont="1" applyFill="1" applyBorder="1" applyAlignment="1">
      <alignment horizontal="center" vertical="center" wrapText="1"/>
    </xf>
    <xf numFmtId="0" fontId="47" fillId="11" borderId="21" xfId="0" applyFont="1" applyFill="1" applyBorder="1" applyAlignment="1">
      <alignment horizontal="center" vertical="center" wrapText="1"/>
    </xf>
    <xf numFmtId="0" fontId="47" fillId="11" borderId="23" xfId="0" applyFont="1" applyFill="1" applyBorder="1" applyAlignment="1">
      <alignment horizontal="center" vertical="center" wrapText="1"/>
    </xf>
    <xf numFmtId="0" fontId="47" fillId="11" borderId="17" xfId="0" applyFont="1" applyFill="1" applyBorder="1" applyAlignment="1">
      <alignment horizontal="center" vertical="center" wrapText="1"/>
    </xf>
    <xf numFmtId="0" fontId="47" fillId="11" borderId="18" xfId="0" applyFont="1" applyFill="1" applyBorder="1" applyAlignment="1">
      <alignment horizontal="center" vertical="center" wrapText="1"/>
    </xf>
    <xf numFmtId="0" fontId="47" fillId="11" borderId="19" xfId="0" applyFont="1" applyFill="1" applyBorder="1" applyAlignment="1">
      <alignment horizontal="center" vertical="center" wrapText="1"/>
    </xf>
    <xf numFmtId="4" fontId="48" fillId="15" borderId="17" xfId="2" applyNumberFormat="1" applyFont="1" applyFill="1" applyBorder="1" applyAlignment="1">
      <alignment horizontal="center" vertical="center" wrapText="1"/>
    </xf>
    <xf numFmtId="4" fontId="48" fillId="15" borderId="18" xfId="2" applyNumberFormat="1" applyFont="1" applyFill="1" applyBorder="1" applyAlignment="1">
      <alignment horizontal="center" vertical="center" wrapText="1"/>
    </xf>
    <xf numFmtId="4" fontId="48" fillId="15" borderId="19" xfId="2" applyNumberFormat="1" applyFont="1" applyFill="1" applyBorder="1" applyAlignment="1">
      <alignment horizontal="center" vertical="center" wrapText="1"/>
    </xf>
    <xf numFmtId="0" fontId="47" fillId="16" borderId="20" xfId="0" applyFont="1" applyFill="1" applyBorder="1" applyAlignment="1">
      <alignment horizontal="center" vertical="center" wrapText="1"/>
    </xf>
    <xf numFmtId="0" fontId="47" fillId="16" borderId="22" xfId="0" applyFont="1" applyFill="1" applyBorder="1" applyAlignment="1">
      <alignment horizontal="center" vertical="center" wrapText="1"/>
    </xf>
    <xf numFmtId="0" fontId="47" fillId="16" borderId="24" xfId="0" applyFont="1" applyFill="1" applyBorder="1" applyAlignment="1">
      <alignment horizontal="center" vertical="center" wrapText="1"/>
    </xf>
    <xf numFmtId="4" fontId="48" fillId="18" borderId="4" xfId="2" applyNumberFormat="1" applyFont="1" applyFill="1" applyBorder="1" applyAlignment="1">
      <alignment horizontal="center" vertical="top" wrapText="1"/>
    </xf>
    <xf numFmtId="4" fontId="48" fillId="18" borderId="13" xfId="2" applyNumberFormat="1" applyFont="1" applyFill="1" applyBorder="1" applyAlignment="1">
      <alignment horizontal="center" vertical="top" wrapText="1"/>
    </xf>
    <xf numFmtId="4" fontId="48" fillId="18" borderId="5" xfId="2" applyNumberFormat="1" applyFont="1" applyFill="1" applyBorder="1" applyAlignment="1">
      <alignment horizontal="center" vertical="top" wrapText="1"/>
    </xf>
    <xf numFmtId="0" fontId="47" fillId="11" borderId="6" xfId="0" applyFont="1" applyFill="1" applyBorder="1" applyAlignment="1">
      <alignment horizontal="center" vertical="center" wrapText="1"/>
    </xf>
    <xf numFmtId="0" fontId="47" fillId="13" borderId="2" xfId="0" applyFont="1" applyFill="1" applyBorder="1" applyAlignment="1">
      <alignment horizontal="center" vertical="center" wrapText="1"/>
    </xf>
    <xf numFmtId="43" fontId="47" fillId="13" borderId="2" xfId="1" applyFont="1" applyFill="1" applyBorder="1" applyAlignment="1">
      <alignment horizontal="center" vertical="center" wrapText="1"/>
    </xf>
    <xf numFmtId="4" fontId="48" fillId="13" borderId="2" xfId="2" applyNumberFormat="1" applyFont="1" applyFill="1" applyBorder="1" applyAlignment="1">
      <alignment horizontal="center" vertical="top" wrapText="1"/>
    </xf>
    <xf numFmtId="4" fontId="48" fillId="13" borderId="2" xfId="2" applyNumberFormat="1" applyFont="1" applyFill="1" applyBorder="1" applyAlignment="1">
      <alignment horizontal="center" vertical="center" wrapText="1"/>
    </xf>
    <xf numFmtId="0" fontId="32" fillId="0" borderId="0" xfId="0" applyFont="1" applyBorder="1" applyAlignment="1">
      <alignment horizontal="center" vertical="center"/>
    </xf>
    <xf numFmtId="43" fontId="32" fillId="0" borderId="0" xfId="1" applyFont="1" applyBorder="1" applyAlignment="1">
      <alignment horizontal="center" vertical="center"/>
    </xf>
    <xf numFmtId="4" fontId="28" fillId="11" borderId="4" xfId="2" applyNumberFormat="1" applyFont="1" applyFill="1" applyBorder="1" applyAlignment="1">
      <alignment horizontal="center" vertical="top" wrapText="1"/>
    </xf>
    <xf numFmtId="4" fontId="28" fillId="11" borderId="13" xfId="2" applyNumberFormat="1" applyFont="1" applyFill="1" applyBorder="1" applyAlignment="1">
      <alignment horizontal="center" vertical="top" wrapText="1"/>
    </xf>
    <xf numFmtId="0" fontId="27" fillId="0" borderId="2" xfId="0" applyFont="1" applyBorder="1" applyAlignment="1">
      <alignment horizontal="center" vertical="center"/>
    </xf>
    <xf numFmtId="0" fontId="25" fillId="0" borderId="0" xfId="0" applyFont="1" applyAlignment="1">
      <alignment horizontal="center"/>
    </xf>
    <xf numFmtId="0" fontId="27" fillId="11" borderId="16" xfId="0" applyFont="1" applyFill="1" applyBorder="1" applyAlignment="1">
      <alignment horizontal="center" vertical="center" wrapText="1"/>
    </xf>
    <xf numFmtId="0" fontId="27" fillId="11" borderId="21" xfId="0" applyFont="1" applyFill="1" applyBorder="1" applyAlignment="1">
      <alignment horizontal="center" vertical="center" wrapText="1"/>
    </xf>
    <xf numFmtId="0" fontId="27" fillId="11" borderId="17" xfId="0" applyFont="1" applyFill="1" applyBorder="1" applyAlignment="1">
      <alignment horizontal="center" vertical="center" wrapText="1"/>
    </xf>
    <xf numFmtId="0" fontId="27" fillId="11" borderId="18" xfId="0" applyFont="1" applyFill="1" applyBorder="1" applyAlignment="1">
      <alignment horizontal="center" vertical="center" wrapText="1"/>
    </xf>
    <xf numFmtId="0" fontId="27" fillId="11" borderId="19" xfId="0" applyFont="1" applyFill="1" applyBorder="1" applyAlignment="1">
      <alignment horizontal="center" vertical="center" wrapText="1"/>
    </xf>
    <xf numFmtId="4" fontId="28" fillId="11" borderId="17" xfId="2" applyNumberFormat="1" applyFont="1" applyFill="1" applyBorder="1" applyAlignment="1">
      <alignment horizontal="center" vertical="center" wrapText="1"/>
    </xf>
    <xf numFmtId="4" fontId="28" fillId="11" borderId="18" xfId="2" applyNumberFormat="1" applyFont="1" applyFill="1" applyBorder="1" applyAlignment="1">
      <alignment horizontal="center" vertical="center" wrapText="1"/>
    </xf>
    <xf numFmtId="4" fontId="28" fillId="11" borderId="19" xfId="2" applyNumberFormat="1" applyFont="1" applyFill="1" applyBorder="1" applyAlignment="1">
      <alignment horizontal="center" vertical="center" wrapText="1"/>
    </xf>
    <xf numFmtId="0" fontId="27" fillId="11" borderId="20" xfId="0" applyFont="1" applyFill="1" applyBorder="1" applyAlignment="1">
      <alignment horizontal="center" vertical="center" wrapText="1"/>
    </xf>
    <xf numFmtId="0" fontId="27" fillId="11" borderId="22" xfId="0" applyFont="1" applyFill="1" applyBorder="1" applyAlignment="1">
      <alignment horizontal="center" vertical="center" wrapText="1"/>
    </xf>
    <xf numFmtId="187" fontId="27" fillId="11" borderId="2" xfId="0" applyNumberFormat="1" applyFont="1" applyFill="1" applyBorder="1" applyAlignment="1">
      <alignment horizontal="center" vertical="center" wrapText="1"/>
    </xf>
    <xf numFmtId="187" fontId="27" fillId="11" borderId="3" xfId="0" applyNumberFormat="1" applyFont="1" applyFill="1" applyBorder="1" applyAlignment="1">
      <alignment horizontal="center" vertical="center" wrapText="1"/>
    </xf>
    <xf numFmtId="0" fontId="27" fillId="11" borderId="2" xfId="0" applyFont="1" applyFill="1" applyBorder="1" applyAlignment="1">
      <alignment horizontal="center" vertical="center"/>
    </xf>
    <xf numFmtId="0" fontId="27" fillId="11" borderId="3" xfId="0" applyFont="1" applyFill="1" applyBorder="1" applyAlignment="1">
      <alignment horizontal="center" vertical="center"/>
    </xf>
    <xf numFmtId="4" fontId="28" fillId="11" borderId="5" xfId="2" applyNumberFormat="1" applyFont="1" applyFill="1" applyBorder="1" applyAlignment="1">
      <alignment horizontal="center" vertical="top" wrapText="1"/>
    </xf>
    <xf numFmtId="0" fontId="27" fillId="11" borderId="10" xfId="0" applyFont="1" applyFill="1" applyBorder="1" applyAlignment="1">
      <alignment horizontal="center" vertical="center"/>
    </xf>
    <xf numFmtId="43" fontId="27" fillId="11" borderId="2" xfId="1" applyFont="1" applyFill="1" applyBorder="1" applyAlignment="1">
      <alignment horizontal="center" vertical="center" wrapText="1"/>
    </xf>
    <xf numFmtId="43" fontId="27" fillId="11" borderId="3" xfId="1" applyFont="1" applyFill="1" applyBorder="1" applyAlignment="1">
      <alignment horizontal="center" vertical="center" wrapText="1"/>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27" fillId="11" borderId="23" xfId="0" applyFont="1" applyFill="1" applyBorder="1" applyAlignment="1">
      <alignment horizontal="center" vertical="center" wrapText="1"/>
    </xf>
    <xf numFmtId="0" fontId="27" fillId="11" borderId="24" xfId="0" applyFont="1" applyFill="1" applyBorder="1" applyAlignment="1">
      <alignment horizontal="center" vertical="center" wrapText="1"/>
    </xf>
    <xf numFmtId="14" fontId="27" fillId="11" borderId="2" xfId="0" applyNumberFormat="1" applyFont="1" applyFill="1" applyBorder="1" applyAlignment="1">
      <alignment horizontal="center" vertical="center" wrapText="1"/>
    </xf>
    <xf numFmtId="0" fontId="27" fillId="11" borderId="2" xfId="0" applyFont="1" applyFill="1" applyBorder="1" applyAlignment="1">
      <alignment horizontal="center" vertical="center" wrapText="1"/>
    </xf>
    <xf numFmtId="0" fontId="27" fillId="11" borderId="3" xfId="0" applyFont="1" applyFill="1" applyBorder="1" applyAlignment="1">
      <alignment horizontal="center" vertical="center" wrapText="1"/>
    </xf>
    <xf numFmtId="0" fontId="27" fillId="11" borderId="6" xfId="0" applyFont="1" applyFill="1" applyBorder="1" applyAlignment="1">
      <alignment horizontal="center" vertical="center" wrapText="1"/>
    </xf>
    <xf numFmtId="0" fontId="22" fillId="0" borderId="0" xfId="0" applyFont="1" applyBorder="1" applyAlignment="1">
      <alignment horizontal="center" vertical="center"/>
    </xf>
    <xf numFmtId="43" fontId="22" fillId="0" borderId="0" xfId="1" applyFont="1" applyBorder="1" applyAlignment="1">
      <alignment horizontal="center" vertical="center"/>
    </xf>
    <xf numFmtId="4" fontId="18" fillId="11" borderId="4" xfId="2" applyNumberFormat="1" applyFont="1" applyFill="1" applyBorder="1" applyAlignment="1">
      <alignment horizontal="center" vertical="top" wrapText="1"/>
    </xf>
    <xf numFmtId="4" fontId="18" fillId="11" borderId="13" xfId="2" applyNumberFormat="1" applyFont="1" applyFill="1" applyBorder="1" applyAlignment="1">
      <alignment horizontal="center" vertical="top" wrapText="1"/>
    </xf>
    <xf numFmtId="0" fontId="16" fillId="0" borderId="4"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center" vertical="center"/>
    </xf>
    <xf numFmtId="0" fontId="14" fillId="0" borderId="0" xfId="0" applyFont="1" applyAlignment="1">
      <alignment horizontal="center"/>
    </xf>
    <xf numFmtId="0" fontId="16" fillId="11" borderId="3" xfId="0" applyFont="1" applyFill="1" applyBorder="1" applyAlignment="1">
      <alignment horizontal="center" vertical="center" wrapText="1"/>
    </xf>
    <xf numFmtId="0" fontId="16" fillId="11" borderId="10" xfId="0" applyFont="1" applyFill="1" applyBorder="1" applyAlignment="1">
      <alignment horizontal="center" vertical="center" wrapText="1"/>
    </xf>
    <xf numFmtId="0" fontId="16" fillId="11" borderId="6"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6" fillId="11" borderId="13" xfId="0" applyFont="1" applyFill="1" applyBorder="1" applyAlignment="1">
      <alignment horizontal="center" vertical="center" wrapText="1"/>
    </xf>
    <xf numFmtId="0" fontId="16" fillId="11" borderId="5" xfId="0" applyFont="1" applyFill="1" applyBorder="1" applyAlignment="1">
      <alignment horizontal="center" vertical="center" wrapText="1"/>
    </xf>
    <xf numFmtId="4" fontId="18" fillId="11" borderId="4" xfId="2" applyNumberFormat="1" applyFont="1" applyFill="1" applyBorder="1" applyAlignment="1">
      <alignment horizontal="center" vertical="center" wrapText="1"/>
    </xf>
    <xf numFmtId="4" fontId="18" fillId="11" borderId="13" xfId="2" applyNumberFormat="1" applyFont="1" applyFill="1" applyBorder="1" applyAlignment="1">
      <alignment horizontal="center" vertical="center" wrapText="1"/>
    </xf>
    <xf numFmtId="4" fontId="18" fillId="11" borderId="14" xfId="2" applyNumberFormat="1" applyFont="1" applyFill="1" applyBorder="1" applyAlignment="1">
      <alignment horizontal="center" vertical="center" wrapText="1"/>
    </xf>
    <xf numFmtId="14" fontId="16" fillId="11" borderId="2" xfId="0" applyNumberFormat="1" applyFont="1" applyFill="1" applyBorder="1" applyAlignment="1">
      <alignment horizontal="center" vertical="center" wrapText="1"/>
    </xf>
    <xf numFmtId="0" fontId="16" fillId="11" borderId="2" xfId="0" applyFont="1" applyFill="1" applyBorder="1" applyAlignment="1">
      <alignment horizontal="center" vertical="center" wrapText="1"/>
    </xf>
    <xf numFmtId="4" fontId="18" fillId="11" borderId="5" xfId="2" applyNumberFormat="1" applyFont="1" applyFill="1" applyBorder="1" applyAlignment="1">
      <alignment horizontal="center" vertical="top" wrapText="1"/>
    </xf>
    <xf numFmtId="43" fontId="16" fillId="11" borderId="2" xfId="1" applyFont="1" applyFill="1" applyBorder="1" applyAlignment="1">
      <alignment horizontal="center" vertical="center" wrapText="1"/>
    </xf>
    <xf numFmtId="187" fontId="16" fillId="11" borderId="2" xfId="0" applyNumberFormat="1" applyFont="1" applyFill="1" applyBorder="1" applyAlignment="1">
      <alignment horizontal="center" vertical="center" wrapText="1"/>
    </xf>
    <xf numFmtId="0" fontId="16" fillId="11" borderId="3" xfId="0" applyFont="1" applyFill="1" applyBorder="1" applyAlignment="1">
      <alignment horizontal="left" vertical="center" wrapText="1"/>
    </xf>
    <xf numFmtId="0" fontId="16" fillId="11" borderId="6" xfId="0" applyFont="1" applyFill="1" applyBorder="1" applyAlignment="1">
      <alignment horizontal="left" vertical="center" wrapText="1"/>
    </xf>
    <xf numFmtId="43" fontId="8" fillId="7" borderId="3" xfId="1" applyFont="1" applyFill="1" applyBorder="1" applyAlignment="1">
      <alignment horizontal="center" vertical="center"/>
    </xf>
    <xf numFmtId="43" fontId="8" fillId="7" borderId="6" xfId="1" applyFont="1" applyFill="1" applyBorder="1" applyAlignment="1">
      <alignment horizontal="center" vertical="center"/>
    </xf>
    <xf numFmtId="43" fontId="8" fillId="4" borderId="2" xfId="1" applyFont="1" applyFill="1" applyBorder="1" applyAlignment="1">
      <alignment horizontal="center"/>
    </xf>
    <xf numFmtId="0" fontId="8" fillId="2" borderId="2" xfId="0" applyFont="1" applyFill="1" applyBorder="1" applyAlignment="1">
      <alignment horizontal="center"/>
    </xf>
    <xf numFmtId="0" fontId="8" fillId="7" borderId="2" xfId="0" applyFont="1" applyFill="1" applyBorder="1" applyAlignment="1">
      <alignment horizontal="center"/>
    </xf>
    <xf numFmtId="43" fontId="8" fillId="4" borderId="4" xfId="1" applyFont="1" applyFill="1" applyBorder="1" applyAlignment="1">
      <alignment horizontal="center" vertical="center" shrinkToFit="1"/>
    </xf>
    <xf numFmtId="43" fontId="8" fillId="4" borderId="5" xfId="1" applyFont="1" applyFill="1" applyBorder="1" applyAlignment="1">
      <alignment horizontal="center" vertical="center" shrinkToFit="1"/>
    </xf>
    <xf numFmtId="43" fontId="8" fillId="4" borderId="2" xfId="1" applyFont="1" applyFill="1" applyBorder="1" applyAlignment="1">
      <alignment horizontal="center" vertical="center" wrapText="1" shrinkToFit="1"/>
    </xf>
    <xf numFmtId="43" fontId="8" fillId="4" borderId="2" xfId="1" applyFont="1" applyFill="1" applyBorder="1" applyAlignment="1">
      <alignment horizontal="center" vertical="center" shrinkToFit="1"/>
    </xf>
    <xf numFmtId="43" fontId="8" fillId="8" borderId="2" xfId="1" applyFont="1" applyFill="1" applyBorder="1" applyAlignment="1">
      <alignment horizontal="center"/>
    </xf>
    <xf numFmtId="43" fontId="10" fillId="9" borderId="2" xfId="1" applyFont="1" applyFill="1" applyBorder="1" applyAlignment="1">
      <alignment horizontal="center"/>
    </xf>
    <xf numFmtId="43" fontId="8" fillId="10" borderId="4" xfId="1" applyFont="1" applyFill="1" applyBorder="1" applyAlignment="1">
      <alignment horizontal="center"/>
    </xf>
    <xf numFmtId="43" fontId="8" fillId="10" borderId="5" xfId="1" applyFont="1" applyFill="1" applyBorder="1" applyAlignment="1">
      <alignment horizontal="center"/>
    </xf>
    <xf numFmtId="43" fontId="8" fillId="7" borderId="3" xfId="1"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3" fontId="8" fillId="0" borderId="2" xfId="1" applyFont="1" applyBorder="1" applyAlignment="1">
      <alignment horizontal="center" vertical="center"/>
    </xf>
    <xf numFmtId="0" fontId="8" fillId="0" borderId="3" xfId="0" applyFont="1" applyBorder="1" applyAlignment="1">
      <alignment horizontal="center" vertical="center" wrapText="1"/>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2" fillId="0" borderId="1" xfId="0" applyFont="1" applyBorder="1" applyAlignment="1">
      <alignment horizontal="center"/>
    </xf>
    <xf numFmtId="43" fontId="4" fillId="0" borderId="2" xfId="1" applyFont="1" applyFill="1" applyBorder="1" applyAlignment="1">
      <alignment horizontal="center" vertical="center"/>
    </xf>
    <xf numFmtId="43" fontId="4" fillId="0" borderId="2" xfId="1" applyFont="1" applyFill="1" applyBorder="1" applyAlignment="1">
      <alignment horizontal="center" vertical="top"/>
    </xf>
    <xf numFmtId="0" fontId="4" fillId="0" borderId="2" xfId="0" applyFont="1" applyFill="1" applyBorder="1" applyAlignment="1">
      <alignment horizontal="center" vertical="center"/>
    </xf>
    <xf numFmtId="0" fontId="23" fillId="0" borderId="0" xfId="0" applyFont="1" applyFill="1" applyBorder="1" applyAlignment="1">
      <alignment horizontal="center" vertical="top"/>
    </xf>
    <xf numFmtId="0" fontId="47" fillId="21" borderId="2" xfId="0" applyFont="1" applyFill="1" applyBorder="1" applyAlignment="1">
      <alignment horizontal="center" vertical="top" shrinkToFit="1"/>
    </xf>
    <xf numFmtId="0" fontId="47" fillId="21" borderId="2" xfId="0" applyFont="1" applyFill="1" applyBorder="1" applyAlignment="1">
      <alignment vertical="top"/>
    </xf>
    <xf numFmtId="0" fontId="46" fillId="0" borderId="2" xfId="0" applyFont="1" applyBorder="1" applyAlignment="1">
      <alignment horizontal="center" vertical="top" shrinkToFit="1"/>
    </xf>
    <xf numFmtId="0" fontId="46" fillId="0" borderId="2" xfId="0" applyFont="1" applyBorder="1" applyAlignment="1">
      <alignment horizontal="left" vertical="top"/>
    </xf>
    <xf numFmtId="43" fontId="46" fillId="0" borderId="2" xfId="1" applyFont="1" applyBorder="1" applyAlignment="1">
      <alignment vertical="top" wrapText="1"/>
    </xf>
    <xf numFmtId="43" fontId="68" fillId="0" borderId="2" xfId="1" applyFont="1" applyBorder="1" applyAlignment="1">
      <alignment horizontal="center" vertical="top" wrapText="1"/>
    </xf>
    <xf numFmtId="0" fontId="58" fillId="0" borderId="0" xfId="0" applyFont="1" applyAlignment="1">
      <alignment vertical="top" wrapText="1"/>
    </xf>
    <xf numFmtId="43" fontId="69" fillId="0" borderId="2" xfId="1" applyFont="1" applyBorder="1" applyAlignment="1">
      <alignment vertical="top" wrapText="1"/>
    </xf>
    <xf numFmtId="0" fontId="52" fillId="0" borderId="2" xfId="0" applyFont="1" applyBorder="1" applyAlignment="1">
      <alignment horizontal="center" vertical="top" wrapText="1" shrinkToFit="1"/>
    </xf>
    <xf numFmtId="0" fontId="52" fillId="21" borderId="2" xfId="0" applyFont="1" applyFill="1" applyBorder="1" applyAlignment="1">
      <alignment horizontal="center" vertical="top" wrapText="1" shrinkToFit="1"/>
    </xf>
    <xf numFmtId="0" fontId="58" fillId="0" borderId="2" xfId="0" applyFont="1" applyBorder="1" applyAlignment="1">
      <alignment horizontal="left" vertical="top"/>
    </xf>
    <xf numFmtId="43" fontId="58" fillId="0" borderId="2" xfId="1" applyFont="1" applyBorder="1" applyAlignment="1">
      <alignment vertical="top" wrapText="1"/>
    </xf>
    <xf numFmtId="0" fontId="2" fillId="0" borderId="31"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43" fontId="64" fillId="0" borderId="0" xfId="1" applyFont="1" applyAlignment="1">
      <alignment wrapText="1"/>
    </xf>
    <xf numFmtId="43" fontId="2" fillId="14" borderId="34" xfId="1" applyFont="1" applyFill="1" applyBorder="1" applyAlignment="1">
      <alignment shrinkToFit="1"/>
    </xf>
    <xf numFmtId="43" fontId="2" fillId="19" borderId="34" xfId="1" applyFont="1" applyFill="1" applyBorder="1" applyAlignment="1">
      <alignment shrinkToFit="1"/>
    </xf>
    <xf numFmtId="43" fontId="2" fillId="11" borderId="34" xfId="1" applyFont="1" applyFill="1" applyBorder="1" applyAlignment="1">
      <alignment shrinkToFit="1"/>
    </xf>
    <xf numFmtId="43" fontId="2" fillId="16" borderId="34" xfId="1" applyFont="1" applyFill="1" applyBorder="1" applyAlignment="1">
      <alignment shrinkToFit="1"/>
    </xf>
  </cellXfs>
  <cellStyles count="4">
    <cellStyle name="Comma" xfId="1" builtinId="3"/>
    <cellStyle name="Normal" xfId="0" builtinId="0"/>
    <cellStyle name="ปกติ 2 2" xfId="2"/>
    <cellStyle name="ปกติ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24"/>
  <sheetViews>
    <sheetView tabSelected="1" workbookViewId="0">
      <selection activeCell="O23" sqref="O23"/>
    </sheetView>
  </sheetViews>
  <sheetFormatPr defaultRowHeight="23.25" x14ac:dyDescent="0.5"/>
  <cols>
    <col min="1" max="1" width="2.625" style="417" bestFit="1" customWidth="1"/>
    <col min="2" max="2" width="34.5" style="418" customWidth="1"/>
    <col min="3" max="5" width="11.25" style="419" customWidth="1"/>
    <col min="6" max="13" width="11.25" style="417" customWidth="1"/>
    <col min="14" max="14" width="11.625" style="417" bestFit="1" customWidth="1"/>
    <col min="15" max="15" width="14.125" style="417" customWidth="1"/>
    <col min="16" max="16" width="28" style="417" bestFit="1" customWidth="1"/>
    <col min="17" max="17" width="11.625" style="417" bestFit="1" customWidth="1"/>
    <col min="18" max="256" width="9" style="417"/>
    <col min="257" max="257" width="2.625" style="417" bestFit="1" customWidth="1"/>
    <col min="258" max="258" width="34.5" style="417" customWidth="1"/>
    <col min="259" max="269" width="11.25" style="417" customWidth="1"/>
    <col min="270" max="270" width="11.625" style="417" bestFit="1" customWidth="1"/>
    <col min="271" max="271" width="14.125" style="417" customWidth="1"/>
    <col min="272" max="272" width="28" style="417" bestFit="1" customWidth="1"/>
    <col min="273" max="273" width="11.625" style="417" bestFit="1" customWidth="1"/>
    <col min="274" max="512" width="9" style="417"/>
    <col min="513" max="513" width="2.625" style="417" bestFit="1" customWidth="1"/>
    <col min="514" max="514" width="34.5" style="417" customWidth="1"/>
    <col min="515" max="525" width="11.25" style="417" customWidth="1"/>
    <col min="526" max="526" width="11.625" style="417" bestFit="1" customWidth="1"/>
    <col min="527" max="527" width="14.125" style="417" customWidth="1"/>
    <col min="528" max="528" width="28" style="417" bestFit="1" customWidth="1"/>
    <col min="529" max="529" width="11.625" style="417" bestFit="1" customWidth="1"/>
    <col min="530" max="768" width="9" style="417"/>
    <col min="769" max="769" width="2.625" style="417" bestFit="1" customWidth="1"/>
    <col min="770" max="770" width="34.5" style="417" customWidth="1"/>
    <col min="771" max="781" width="11.25" style="417" customWidth="1"/>
    <col min="782" max="782" width="11.625" style="417" bestFit="1" customWidth="1"/>
    <col min="783" max="783" width="14.125" style="417" customWidth="1"/>
    <col min="784" max="784" width="28" style="417" bestFit="1" customWidth="1"/>
    <col min="785" max="785" width="11.625" style="417" bestFit="1" customWidth="1"/>
    <col min="786" max="1024" width="9" style="417"/>
    <col min="1025" max="1025" width="2.625" style="417" bestFit="1" customWidth="1"/>
    <col min="1026" max="1026" width="34.5" style="417" customWidth="1"/>
    <col min="1027" max="1037" width="11.25" style="417" customWidth="1"/>
    <col min="1038" max="1038" width="11.625" style="417" bestFit="1" customWidth="1"/>
    <col min="1039" max="1039" width="14.125" style="417" customWidth="1"/>
    <col min="1040" max="1040" width="28" style="417" bestFit="1" customWidth="1"/>
    <col min="1041" max="1041" width="11.625" style="417" bestFit="1" customWidth="1"/>
    <col min="1042" max="1280" width="9" style="417"/>
    <col min="1281" max="1281" width="2.625" style="417" bestFit="1" customWidth="1"/>
    <col min="1282" max="1282" width="34.5" style="417" customWidth="1"/>
    <col min="1283" max="1293" width="11.25" style="417" customWidth="1"/>
    <col min="1294" max="1294" width="11.625" style="417" bestFit="1" customWidth="1"/>
    <col min="1295" max="1295" width="14.125" style="417" customWidth="1"/>
    <col min="1296" max="1296" width="28" style="417" bestFit="1" customWidth="1"/>
    <col min="1297" max="1297" width="11.625" style="417" bestFit="1" customWidth="1"/>
    <col min="1298" max="1536" width="9" style="417"/>
    <col min="1537" max="1537" width="2.625" style="417" bestFit="1" customWidth="1"/>
    <col min="1538" max="1538" width="34.5" style="417" customWidth="1"/>
    <col min="1539" max="1549" width="11.25" style="417" customWidth="1"/>
    <col min="1550" max="1550" width="11.625" style="417" bestFit="1" customWidth="1"/>
    <col min="1551" max="1551" width="14.125" style="417" customWidth="1"/>
    <col min="1552" max="1552" width="28" style="417" bestFit="1" customWidth="1"/>
    <col min="1553" max="1553" width="11.625" style="417" bestFit="1" customWidth="1"/>
    <col min="1554" max="1792" width="9" style="417"/>
    <col min="1793" max="1793" width="2.625" style="417" bestFit="1" customWidth="1"/>
    <col min="1794" max="1794" width="34.5" style="417" customWidth="1"/>
    <col min="1795" max="1805" width="11.25" style="417" customWidth="1"/>
    <col min="1806" max="1806" width="11.625" style="417" bestFit="1" customWidth="1"/>
    <col min="1807" max="1807" width="14.125" style="417" customWidth="1"/>
    <col min="1808" max="1808" width="28" style="417" bestFit="1" customWidth="1"/>
    <col min="1809" max="1809" width="11.625" style="417" bestFit="1" customWidth="1"/>
    <col min="1810" max="2048" width="9" style="417"/>
    <col min="2049" max="2049" width="2.625" style="417" bestFit="1" customWidth="1"/>
    <col min="2050" max="2050" width="34.5" style="417" customWidth="1"/>
    <col min="2051" max="2061" width="11.25" style="417" customWidth="1"/>
    <col min="2062" max="2062" width="11.625" style="417" bestFit="1" customWidth="1"/>
    <col min="2063" max="2063" width="14.125" style="417" customWidth="1"/>
    <col min="2064" max="2064" width="28" style="417" bestFit="1" customWidth="1"/>
    <col min="2065" max="2065" width="11.625" style="417" bestFit="1" customWidth="1"/>
    <col min="2066" max="2304" width="9" style="417"/>
    <col min="2305" max="2305" width="2.625" style="417" bestFit="1" customWidth="1"/>
    <col min="2306" max="2306" width="34.5" style="417" customWidth="1"/>
    <col min="2307" max="2317" width="11.25" style="417" customWidth="1"/>
    <col min="2318" max="2318" width="11.625" style="417" bestFit="1" customWidth="1"/>
    <col min="2319" max="2319" width="14.125" style="417" customWidth="1"/>
    <col min="2320" max="2320" width="28" style="417" bestFit="1" customWidth="1"/>
    <col min="2321" max="2321" width="11.625" style="417" bestFit="1" customWidth="1"/>
    <col min="2322" max="2560" width="9" style="417"/>
    <col min="2561" max="2561" width="2.625" style="417" bestFit="1" customWidth="1"/>
    <col min="2562" max="2562" width="34.5" style="417" customWidth="1"/>
    <col min="2563" max="2573" width="11.25" style="417" customWidth="1"/>
    <col min="2574" max="2574" width="11.625" style="417" bestFit="1" customWidth="1"/>
    <col min="2575" max="2575" width="14.125" style="417" customWidth="1"/>
    <col min="2576" max="2576" width="28" style="417" bestFit="1" customWidth="1"/>
    <col min="2577" max="2577" width="11.625" style="417" bestFit="1" customWidth="1"/>
    <col min="2578" max="2816" width="9" style="417"/>
    <col min="2817" max="2817" width="2.625" style="417" bestFit="1" customWidth="1"/>
    <col min="2818" max="2818" width="34.5" style="417" customWidth="1"/>
    <col min="2819" max="2829" width="11.25" style="417" customWidth="1"/>
    <col min="2830" max="2830" width="11.625" style="417" bestFit="1" customWidth="1"/>
    <col min="2831" max="2831" width="14.125" style="417" customWidth="1"/>
    <col min="2832" max="2832" width="28" style="417" bestFit="1" customWidth="1"/>
    <col min="2833" max="2833" width="11.625" style="417" bestFit="1" customWidth="1"/>
    <col min="2834" max="3072" width="9" style="417"/>
    <col min="3073" max="3073" width="2.625" style="417" bestFit="1" customWidth="1"/>
    <col min="3074" max="3074" width="34.5" style="417" customWidth="1"/>
    <col min="3075" max="3085" width="11.25" style="417" customWidth="1"/>
    <col min="3086" max="3086" width="11.625" style="417" bestFit="1" customWidth="1"/>
    <col min="3087" max="3087" width="14.125" style="417" customWidth="1"/>
    <col min="3088" max="3088" width="28" style="417" bestFit="1" customWidth="1"/>
    <col min="3089" max="3089" width="11.625" style="417" bestFit="1" customWidth="1"/>
    <col min="3090" max="3328" width="9" style="417"/>
    <col min="3329" max="3329" width="2.625" style="417" bestFit="1" customWidth="1"/>
    <col min="3330" max="3330" width="34.5" style="417" customWidth="1"/>
    <col min="3331" max="3341" width="11.25" style="417" customWidth="1"/>
    <col min="3342" max="3342" width="11.625" style="417" bestFit="1" customWidth="1"/>
    <col min="3343" max="3343" width="14.125" style="417" customWidth="1"/>
    <col min="3344" max="3344" width="28" style="417" bestFit="1" customWidth="1"/>
    <col min="3345" max="3345" width="11.625" style="417" bestFit="1" customWidth="1"/>
    <col min="3346" max="3584" width="9" style="417"/>
    <col min="3585" max="3585" width="2.625" style="417" bestFit="1" customWidth="1"/>
    <col min="3586" max="3586" width="34.5" style="417" customWidth="1"/>
    <col min="3587" max="3597" width="11.25" style="417" customWidth="1"/>
    <col min="3598" max="3598" width="11.625" style="417" bestFit="1" customWidth="1"/>
    <col min="3599" max="3599" width="14.125" style="417" customWidth="1"/>
    <col min="3600" max="3600" width="28" style="417" bestFit="1" customWidth="1"/>
    <col min="3601" max="3601" width="11.625" style="417" bestFit="1" customWidth="1"/>
    <col min="3602" max="3840" width="9" style="417"/>
    <col min="3841" max="3841" width="2.625" style="417" bestFit="1" customWidth="1"/>
    <col min="3842" max="3842" width="34.5" style="417" customWidth="1"/>
    <col min="3843" max="3853" width="11.25" style="417" customWidth="1"/>
    <col min="3854" max="3854" width="11.625" style="417" bestFit="1" customWidth="1"/>
    <col min="3855" max="3855" width="14.125" style="417" customWidth="1"/>
    <col min="3856" max="3856" width="28" style="417" bestFit="1" customWidth="1"/>
    <col min="3857" max="3857" width="11.625" style="417" bestFit="1" customWidth="1"/>
    <col min="3858" max="4096" width="9" style="417"/>
    <col min="4097" max="4097" width="2.625" style="417" bestFit="1" customWidth="1"/>
    <col min="4098" max="4098" width="34.5" style="417" customWidth="1"/>
    <col min="4099" max="4109" width="11.25" style="417" customWidth="1"/>
    <col min="4110" max="4110" width="11.625" style="417" bestFit="1" customWidth="1"/>
    <col min="4111" max="4111" width="14.125" style="417" customWidth="1"/>
    <col min="4112" max="4112" width="28" style="417" bestFit="1" customWidth="1"/>
    <col min="4113" max="4113" width="11.625" style="417" bestFit="1" customWidth="1"/>
    <col min="4114" max="4352" width="9" style="417"/>
    <col min="4353" max="4353" width="2.625" style="417" bestFit="1" customWidth="1"/>
    <col min="4354" max="4354" width="34.5" style="417" customWidth="1"/>
    <col min="4355" max="4365" width="11.25" style="417" customWidth="1"/>
    <col min="4366" max="4366" width="11.625" style="417" bestFit="1" customWidth="1"/>
    <col min="4367" max="4367" width="14.125" style="417" customWidth="1"/>
    <col min="4368" max="4368" width="28" style="417" bestFit="1" customWidth="1"/>
    <col min="4369" max="4369" width="11.625" style="417" bestFit="1" customWidth="1"/>
    <col min="4370" max="4608" width="9" style="417"/>
    <col min="4609" max="4609" width="2.625" style="417" bestFit="1" customWidth="1"/>
    <col min="4610" max="4610" width="34.5" style="417" customWidth="1"/>
    <col min="4611" max="4621" width="11.25" style="417" customWidth="1"/>
    <col min="4622" max="4622" width="11.625" style="417" bestFit="1" customWidth="1"/>
    <col min="4623" max="4623" width="14.125" style="417" customWidth="1"/>
    <col min="4624" max="4624" width="28" style="417" bestFit="1" customWidth="1"/>
    <col min="4625" max="4625" width="11.625" style="417" bestFit="1" customWidth="1"/>
    <col min="4626" max="4864" width="9" style="417"/>
    <col min="4865" max="4865" width="2.625" style="417" bestFit="1" customWidth="1"/>
    <col min="4866" max="4866" width="34.5" style="417" customWidth="1"/>
    <col min="4867" max="4877" width="11.25" style="417" customWidth="1"/>
    <col min="4878" max="4878" width="11.625" style="417" bestFit="1" customWidth="1"/>
    <col min="4879" max="4879" width="14.125" style="417" customWidth="1"/>
    <col min="4880" max="4880" width="28" style="417" bestFit="1" customWidth="1"/>
    <col min="4881" max="4881" width="11.625" style="417" bestFit="1" customWidth="1"/>
    <col min="4882" max="5120" width="9" style="417"/>
    <col min="5121" max="5121" width="2.625" style="417" bestFit="1" customWidth="1"/>
    <col min="5122" max="5122" width="34.5" style="417" customWidth="1"/>
    <col min="5123" max="5133" width="11.25" style="417" customWidth="1"/>
    <col min="5134" max="5134" width="11.625" style="417" bestFit="1" customWidth="1"/>
    <col min="5135" max="5135" width="14.125" style="417" customWidth="1"/>
    <col min="5136" max="5136" width="28" style="417" bestFit="1" customWidth="1"/>
    <col min="5137" max="5137" width="11.625" style="417" bestFit="1" customWidth="1"/>
    <col min="5138" max="5376" width="9" style="417"/>
    <col min="5377" max="5377" width="2.625" style="417" bestFit="1" customWidth="1"/>
    <col min="5378" max="5378" width="34.5" style="417" customWidth="1"/>
    <col min="5379" max="5389" width="11.25" style="417" customWidth="1"/>
    <col min="5390" max="5390" width="11.625" style="417" bestFit="1" customWidth="1"/>
    <col min="5391" max="5391" width="14.125" style="417" customWidth="1"/>
    <col min="5392" max="5392" width="28" style="417" bestFit="1" customWidth="1"/>
    <col min="5393" max="5393" width="11.625" style="417" bestFit="1" customWidth="1"/>
    <col min="5394" max="5632" width="9" style="417"/>
    <col min="5633" max="5633" width="2.625" style="417" bestFit="1" customWidth="1"/>
    <col min="5634" max="5634" width="34.5" style="417" customWidth="1"/>
    <col min="5635" max="5645" width="11.25" style="417" customWidth="1"/>
    <col min="5646" max="5646" width="11.625" style="417" bestFit="1" customWidth="1"/>
    <col min="5647" max="5647" width="14.125" style="417" customWidth="1"/>
    <col min="5648" max="5648" width="28" style="417" bestFit="1" customWidth="1"/>
    <col min="5649" max="5649" width="11.625" style="417" bestFit="1" customWidth="1"/>
    <col min="5650" max="5888" width="9" style="417"/>
    <col min="5889" max="5889" width="2.625" style="417" bestFit="1" customWidth="1"/>
    <col min="5890" max="5890" width="34.5" style="417" customWidth="1"/>
    <col min="5891" max="5901" width="11.25" style="417" customWidth="1"/>
    <col min="5902" max="5902" width="11.625" style="417" bestFit="1" customWidth="1"/>
    <col min="5903" max="5903" width="14.125" style="417" customWidth="1"/>
    <col min="5904" max="5904" width="28" style="417" bestFit="1" customWidth="1"/>
    <col min="5905" max="5905" width="11.625" style="417" bestFit="1" customWidth="1"/>
    <col min="5906" max="6144" width="9" style="417"/>
    <col min="6145" max="6145" width="2.625" style="417" bestFit="1" customWidth="1"/>
    <col min="6146" max="6146" width="34.5" style="417" customWidth="1"/>
    <col min="6147" max="6157" width="11.25" style="417" customWidth="1"/>
    <col min="6158" max="6158" width="11.625" style="417" bestFit="1" customWidth="1"/>
    <col min="6159" max="6159" width="14.125" style="417" customWidth="1"/>
    <col min="6160" max="6160" width="28" style="417" bestFit="1" customWidth="1"/>
    <col min="6161" max="6161" width="11.625" style="417" bestFit="1" customWidth="1"/>
    <col min="6162" max="6400" width="9" style="417"/>
    <col min="6401" max="6401" width="2.625" style="417" bestFit="1" customWidth="1"/>
    <col min="6402" max="6402" width="34.5" style="417" customWidth="1"/>
    <col min="6403" max="6413" width="11.25" style="417" customWidth="1"/>
    <col min="6414" max="6414" width="11.625" style="417" bestFit="1" customWidth="1"/>
    <col min="6415" max="6415" width="14.125" style="417" customWidth="1"/>
    <col min="6416" max="6416" width="28" style="417" bestFit="1" customWidth="1"/>
    <col min="6417" max="6417" width="11.625" style="417" bestFit="1" customWidth="1"/>
    <col min="6418" max="6656" width="9" style="417"/>
    <col min="6657" max="6657" width="2.625" style="417" bestFit="1" customWidth="1"/>
    <col min="6658" max="6658" width="34.5" style="417" customWidth="1"/>
    <col min="6659" max="6669" width="11.25" style="417" customWidth="1"/>
    <col min="6670" max="6670" width="11.625" style="417" bestFit="1" customWidth="1"/>
    <col min="6671" max="6671" width="14.125" style="417" customWidth="1"/>
    <col min="6672" max="6672" width="28" style="417" bestFit="1" customWidth="1"/>
    <col min="6673" max="6673" width="11.625" style="417" bestFit="1" customWidth="1"/>
    <col min="6674" max="6912" width="9" style="417"/>
    <col min="6913" max="6913" width="2.625" style="417" bestFit="1" customWidth="1"/>
    <col min="6914" max="6914" width="34.5" style="417" customWidth="1"/>
    <col min="6915" max="6925" width="11.25" style="417" customWidth="1"/>
    <col min="6926" max="6926" width="11.625" style="417" bestFit="1" customWidth="1"/>
    <col min="6927" max="6927" width="14.125" style="417" customWidth="1"/>
    <col min="6928" max="6928" width="28" style="417" bestFit="1" customWidth="1"/>
    <col min="6929" max="6929" width="11.625" style="417" bestFit="1" customWidth="1"/>
    <col min="6930" max="7168" width="9" style="417"/>
    <col min="7169" max="7169" width="2.625" style="417" bestFit="1" customWidth="1"/>
    <col min="7170" max="7170" width="34.5" style="417" customWidth="1"/>
    <col min="7171" max="7181" width="11.25" style="417" customWidth="1"/>
    <col min="7182" max="7182" width="11.625" style="417" bestFit="1" customWidth="1"/>
    <col min="7183" max="7183" width="14.125" style="417" customWidth="1"/>
    <col min="7184" max="7184" width="28" style="417" bestFit="1" customWidth="1"/>
    <col min="7185" max="7185" width="11.625" style="417" bestFit="1" customWidth="1"/>
    <col min="7186" max="7424" width="9" style="417"/>
    <col min="7425" max="7425" width="2.625" style="417" bestFit="1" customWidth="1"/>
    <col min="7426" max="7426" width="34.5" style="417" customWidth="1"/>
    <col min="7427" max="7437" width="11.25" style="417" customWidth="1"/>
    <col min="7438" max="7438" width="11.625" style="417" bestFit="1" customWidth="1"/>
    <col min="7439" max="7439" width="14.125" style="417" customWidth="1"/>
    <col min="7440" max="7440" width="28" style="417" bestFit="1" customWidth="1"/>
    <col min="7441" max="7441" width="11.625" style="417" bestFit="1" customWidth="1"/>
    <col min="7442" max="7680" width="9" style="417"/>
    <col min="7681" max="7681" width="2.625" style="417" bestFit="1" customWidth="1"/>
    <col min="7682" max="7682" width="34.5" style="417" customWidth="1"/>
    <col min="7683" max="7693" width="11.25" style="417" customWidth="1"/>
    <col min="7694" max="7694" width="11.625" style="417" bestFit="1" customWidth="1"/>
    <col min="7695" max="7695" width="14.125" style="417" customWidth="1"/>
    <col min="7696" max="7696" width="28" style="417" bestFit="1" customWidth="1"/>
    <col min="7697" max="7697" width="11.625" style="417" bestFit="1" customWidth="1"/>
    <col min="7698" max="7936" width="9" style="417"/>
    <col min="7937" max="7937" width="2.625" style="417" bestFit="1" customWidth="1"/>
    <col min="7938" max="7938" width="34.5" style="417" customWidth="1"/>
    <col min="7939" max="7949" width="11.25" style="417" customWidth="1"/>
    <col min="7950" max="7950" width="11.625" style="417" bestFit="1" customWidth="1"/>
    <col min="7951" max="7951" width="14.125" style="417" customWidth="1"/>
    <col min="7952" max="7952" width="28" style="417" bestFit="1" customWidth="1"/>
    <col min="7953" max="7953" width="11.625" style="417" bestFit="1" customWidth="1"/>
    <col min="7954" max="8192" width="9" style="417"/>
    <col min="8193" max="8193" width="2.625" style="417" bestFit="1" customWidth="1"/>
    <col min="8194" max="8194" width="34.5" style="417" customWidth="1"/>
    <col min="8195" max="8205" width="11.25" style="417" customWidth="1"/>
    <col min="8206" max="8206" width="11.625" style="417" bestFit="1" customWidth="1"/>
    <col min="8207" max="8207" width="14.125" style="417" customWidth="1"/>
    <col min="8208" max="8208" width="28" style="417" bestFit="1" customWidth="1"/>
    <col min="8209" max="8209" width="11.625" style="417" bestFit="1" customWidth="1"/>
    <col min="8210" max="8448" width="9" style="417"/>
    <col min="8449" max="8449" width="2.625" style="417" bestFit="1" customWidth="1"/>
    <col min="8450" max="8450" width="34.5" style="417" customWidth="1"/>
    <col min="8451" max="8461" width="11.25" style="417" customWidth="1"/>
    <col min="8462" max="8462" width="11.625" style="417" bestFit="1" customWidth="1"/>
    <col min="8463" max="8463" width="14.125" style="417" customWidth="1"/>
    <col min="8464" max="8464" width="28" style="417" bestFit="1" customWidth="1"/>
    <col min="8465" max="8465" width="11.625" style="417" bestFit="1" customWidth="1"/>
    <col min="8466" max="8704" width="9" style="417"/>
    <col min="8705" max="8705" width="2.625" style="417" bestFit="1" customWidth="1"/>
    <col min="8706" max="8706" width="34.5" style="417" customWidth="1"/>
    <col min="8707" max="8717" width="11.25" style="417" customWidth="1"/>
    <col min="8718" max="8718" width="11.625" style="417" bestFit="1" customWidth="1"/>
    <col min="8719" max="8719" width="14.125" style="417" customWidth="1"/>
    <col min="8720" max="8720" width="28" style="417" bestFit="1" customWidth="1"/>
    <col min="8721" max="8721" width="11.625" style="417" bestFit="1" customWidth="1"/>
    <col min="8722" max="8960" width="9" style="417"/>
    <col min="8961" max="8961" width="2.625" style="417" bestFit="1" customWidth="1"/>
    <col min="8962" max="8962" width="34.5" style="417" customWidth="1"/>
    <col min="8963" max="8973" width="11.25" style="417" customWidth="1"/>
    <col min="8974" max="8974" width="11.625" style="417" bestFit="1" customWidth="1"/>
    <col min="8975" max="8975" width="14.125" style="417" customWidth="1"/>
    <col min="8976" max="8976" width="28" style="417" bestFit="1" customWidth="1"/>
    <col min="8977" max="8977" width="11.625" style="417" bestFit="1" customWidth="1"/>
    <col min="8978" max="9216" width="9" style="417"/>
    <col min="9217" max="9217" width="2.625" style="417" bestFit="1" customWidth="1"/>
    <col min="9218" max="9218" width="34.5" style="417" customWidth="1"/>
    <col min="9219" max="9229" width="11.25" style="417" customWidth="1"/>
    <col min="9230" max="9230" width="11.625" style="417" bestFit="1" customWidth="1"/>
    <col min="9231" max="9231" width="14.125" style="417" customWidth="1"/>
    <col min="9232" max="9232" width="28" style="417" bestFit="1" customWidth="1"/>
    <col min="9233" max="9233" width="11.625" style="417" bestFit="1" customWidth="1"/>
    <col min="9234" max="9472" width="9" style="417"/>
    <col min="9473" max="9473" width="2.625" style="417" bestFit="1" customWidth="1"/>
    <col min="9474" max="9474" width="34.5" style="417" customWidth="1"/>
    <col min="9475" max="9485" width="11.25" style="417" customWidth="1"/>
    <col min="9486" max="9486" width="11.625" style="417" bestFit="1" customWidth="1"/>
    <col min="9487" max="9487" width="14.125" style="417" customWidth="1"/>
    <col min="9488" max="9488" width="28" style="417" bestFit="1" customWidth="1"/>
    <col min="9489" max="9489" width="11.625" style="417" bestFit="1" customWidth="1"/>
    <col min="9490" max="9728" width="9" style="417"/>
    <col min="9729" max="9729" width="2.625" style="417" bestFit="1" customWidth="1"/>
    <col min="9730" max="9730" width="34.5" style="417" customWidth="1"/>
    <col min="9731" max="9741" width="11.25" style="417" customWidth="1"/>
    <col min="9742" max="9742" width="11.625" style="417" bestFit="1" customWidth="1"/>
    <col min="9743" max="9743" width="14.125" style="417" customWidth="1"/>
    <col min="9744" max="9744" width="28" style="417" bestFit="1" customWidth="1"/>
    <col min="9745" max="9745" width="11.625" style="417" bestFit="1" customWidth="1"/>
    <col min="9746" max="9984" width="9" style="417"/>
    <col min="9985" max="9985" width="2.625" style="417" bestFit="1" customWidth="1"/>
    <col min="9986" max="9986" width="34.5" style="417" customWidth="1"/>
    <col min="9987" max="9997" width="11.25" style="417" customWidth="1"/>
    <col min="9998" max="9998" width="11.625" style="417" bestFit="1" customWidth="1"/>
    <col min="9999" max="9999" width="14.125" style="417" customWidth="1"/>
    <col min="10000" max="10000" width="28" style="417" bestFit="1" customWidth="1"/>
    <col min="10001" max="10001" width="11.625" style="417" bestFit="1" customWidth="1"/>
    <col min="10002" max="10240" width="9" style="417"/>
    <col min="10241" max="10241" width="2.625" style="417" bestFit="1" customWidth="1"/>
    <col min="10242" max="10242" width="34.5" style="417" customWidth="1"/>
    <col min="10243" max="10253" width="11.25" style="417" customWidth="1"/>
    <col min="10254" max="10254" width="11.625" style="417" bestFit="1" customWidth="1"/>
    <col min="10255" max="10255" width="14.125" style="417" customWidth="1"/>
    <col min="10256" max="10256" width="28" style="417" bestFit="1" customWidth="1"/>
    <col min="10257" max="10257" width="11.625" style="417" bestFit="1" customWidth="1"/>
    <col min="10258" max="10496" width="9" style="417"/>
    <col min="10497" max="10497" width="2.625" style="417" bestFit="1" customWidth="1"/>
    <col min="10498" max="10498" width="34.5" style="417" customWidth="1"/>
    <col min="10499" max="10509" width="11.25" style="417" customWidth="1"/>
    <col min="10510" max="10510" width="11.625" style="417" bestFit="1" customWidth="1"/>
    <col min="10511" max="10511" width="14.125" style="417" customWidth="1"/>
    <col min="10512" max="10512" width="28" style="417" bestFit="1" customWidth="1"/>
    <col min="10513" max="10513" width="11.625" style="417" bestFit="1" customWidth="1"/>
    <col min="10514" max="10752" width="9" style="417"/>
    <col min="10753" max="10753" width="2.625" style="417" bestFit="1" customWidth="1"/>
    <col min="10754" max="10754" width="34.5" style="417" customWidth="1"/>
    <col min="10755" max="10765" width="11.25" style="417" customWidth="1"/>
    <col min="10766" max="10766" width="11.625" style="417" bestFit="1" customWidth="1"/>
    <col min="10767" max="10767" width="14.125" style="417" customWidth="1"/>
    <col min="10768" max="10768" width="28" style="417" bestFit="1" customWidth="1"/>
    <col min="10769" max="10769" width="11.625" style="417" bestFit="1" customWidth="1"/>
    <col min="10770" max="11008" width="9" style="417"/>
    <col min="11009" max="11009" width="2.625" style="417" bestFit="1" customWidth="1"/>
    <col min="11010" max="11010" width="34.5" style="417" customWidth="1"/>
    <col min="11011" max="11021" width="11.25" style="417" customWidth="1"/>
    <col min="11022" max="11022" width="11.625" style="417" bestFit="1" customWidth="1"/>
    <col min="11023" max="11023" width="14.125" style="417" customWidth="1"/>
    <col min="11024" max="11024" width="28" style="417" bestFit="1" customWidth="1"/>
    <col min="11025" max="11025" width="11.625" style="417" bestFit="1" customWidth="1"/>
    <col min="11026" max="11264" width="9" style="417"/>
    <col min="11265" max="11265" width="2.625" style="417" bestFit="1" customWidth="1"/>
    <col min="11266" max="11266" width="34.5" style="417" customWidth="1"/>
    <col min="11267" max="11277" width="11.25" style="417" customWidth="1"/>
    <col min="11278" max="11278" width="11.625" style="417" bestFit="1" customWidth="1"/>
    <col min="11279" max="11279" width="14.125" style="417" customWidth="1"/>
    <col min="11280" max="11280" width="28" style="417" bestFit="1" customWidth="1"/>
    <col min="11281" max="11281" width="11.625" style="417" bestFit="1" customWidth="1"/>
    <col min="11282" max="11520" width="9" style="417"/>
    <col min="11521" max="11521" width="2.625" style="417" bestFit="1" customWidth="1"/>
    <col min="11522" max="11522" width="34.5" style="417" customWidth="1"/>
    <col min="11523" max="11533" width="11.25" style="417" customWidth="1"/>
    <col min="11534" max="11534" width="11.625" style="417" bestFit="1" customWidth="1"/>
    <col min="11535" max="11535" width="14.125" style="417" customWidth="1"/>
    <col min="11536" max="11536" width="28" style="417" bestFit="1" customWidth="1"/>
    <col min="11537" max="11537" width="11.625" style="417" bestFit="1" customWidth="1"/>
    <col min="11538" max="11776" width="9" style="417"/>
    <col min="11777" max="11777" width="2.625" style="417" bestFit="1" customWidth="1"/>
    <col min="11778" max="11778" width="34.5" style="417" customWidth="1"/>
    <col min="11779" max="11789" width="11.25" style="417" customWidth="1"/>
    <col min="11790" max="11790" width="11.625" style="417" bestFit="1" customWidth="1"/>
    <col min="11791" max="11791" width="14.125" style="417" customWidth="1"/>
    <col min="11792" max="11792" width="28" style="417" bestFit="1" customWidth="1"/>
    <col min="11793" max="11793" width="11.625" style="417" bestFit="1" customWidth="1"/>
    <col min="11794" max="12032" width="9" style="417"/>
    <col min="12033" max="12033" width="2.625" style="417" bestFit="1" customWidth="1"/>
    <col min="12034" max="12034" width="34.5" style="417" customWidth="1"/>
    <col min="12035" max="12045" width="11.25" style="417" customWidth="1"/>
    <col min="12046" max="12046" width="11.625" style="417" bestFit="1" customWidth="1"/>
    <col min="12047" max="12047" width="14.125" style="417" customWidth="1"/>
    <col min="12048" max="12048" width="28" style="417" bestFit="1" customWidth="1"/>
    <col min="12049" max="12049" width="11.625" style="417" bestFit="1" customWidth="1"/>
    <col min="12050" max="12288" width="9" style="417"/>
    <col min="12289" max="12289" width="2.625" style="417" bestFit="1" customWidth="1"/>
    <col min="12290" max="12290" width="34.5" style="417" customWidth="1"/>
    <col min="12291" max="12301" width="11.25" style="417" customWidth="1"/>
    <col min="12302" max="12302" width="11.625" style="417" bestFit="1" customWidth="1"/>
    <col min="12303" max="12303" width="14.125" style="417" customWidth="1"/>
    <col min="12304" max="12304" width="28" style="417" bestFit="1" customWidth="1"/>
    <col min="12305" max="12305" width="11.625" style="417" bestFit="1" customWidth="1"/>
    <col min="12306" max="12544" width="9" style="417"/>
    <col min="12545" max="12545" width="2.625" style="417" bestFit="1" customWidth="1"/>
    <col min="12546" max="12546" width="34.5" style="417" customWidth="1"/>
    <col min="12547" max="12557" width="11.25" style="417" customWidth="1"/>
    <col min="12558" max="12558" width="11.625" style="417" bestFit="1" customWidth="1"/>
    <col min="12559" max="12559" width="14.125" style="417" customWidth="1"/>
    <col min="12560" max="12560" width="28" style="417" bestFit="1" customWidth="1"/>
    <col min="12561" max="12561" width="11.625" style="417" bestFit="1" customWidth="1"/>
    <col min="12562" max="12800" width="9" style="417"/>
    <col min="12801" max="12801" width="2.625" style="417" bestFit="1" customWidth="1"/>
    <col min="12802" max="12802" width="34.5" style="417" customWidth="1"/>
    <col min="12803" max="12813" width="11.25" style="417" customWidth="1"/>
    <col min="12814" max="12814" width="11.625" style="417" bestFit="1" customWidth="1"/>
    <col min="12815" max="12815" width="14.125" style="417" customWidth="1"/>
    <col min="12816" max="12816" width="28" style="417" bestFit="1" customWidth="1"/>
    <col min="12817" max="12817" width="11.625" style="417" bestFit="1" customWidth="1"/>
    <col min="12818" max="13056" width="9" style="417"/>
    <col min="13057" max="13057" width="2.625" style="417" bestFit="1" customWidth="1"/>
    <col min="13058" max="13058" width="34.5" style="417" customWidth="1"/>
    <col min="13059" max="13069" width="11.25" style="417" customWidth="1"/>
    <col min="13070" max="13070" width="11.625" style="417" bestFit="1" customWidth="1"/>
    <col min="13071" max="13071" width="14.125" style="417" customWidth="1"/>
    <col min="13072" max="13072" width="28" style="417" bestFit="1" customWidth="1"/>
    <col min="13073" max="13073" width="11.625" style="417" bestFit="1" customWidth="1"/>
    <col min="13074" max="13312" width="9" style="417"/>
    <col min="13313" max="13313" width="2.625" style="417" bestFit="1" customWidth="1"/>
    <col min="13314" max="13314" width="34.5" style="417" customWidth="1"/>
    <col min="13315" max="13325" width="11.25" style="417" customWidth="1"/>
    <col min="13326" max="13326" width="11.625" style="417" bestFit="1" customWidth="1"/>
    <col min="13327" max="13327" width="14.125" style="417" customWidth="1"/>
    <col min="13328" max="13328" width="28" style="417" bestFit="1" customWidth="1"/>
    <col min="13329" max="13329" width="11.625" style="417" bestFit="1" customWidth="1"/>
    <col min="13330" max="13568" width="9" style="417"/>
    <col min="13569" max="13569" width="2.625" style="417" bestFit="1" customWidth="1"/>
    <col min="13570" max="13570" width="34.5" style="417" customWidth="1"/>
    <col min="13571" max="13581" width="11.25" style="417" customWidth="1"/>
    <col min="13582" max="13582" width="11.625" style="417" bestFit="1" customWidth="1"/>
    <col min="13583" max="13583" width="14.125" style="417" customWidth="1"/>
    <col min="13584" max="13584" width="28" style="417" bestFit="1" customWidth="1"/>
    <col min="13585" max="13585" width="11.625" style="417" bestFit="1" customWidth="1"/>
    <col min="13586" max="13824" width="9" style="417"/>
    <col min="13825" max="13825" width="2.625" style="417" bestFit="1" customWidth="1"/>
    <col min="13826" max="13826" width="34.5" style="417" customWidth="1"/>
    <col min="13827" max="13837" width="11.25" style="417" customWidth="1"/>
    <col min="13838" max="13838" width="11.625" style="417" bestFit="1" customWidth="1"/>
    <col min="13839" max="13839" width="14.125" style="417" customWidth="1"/>
    <col min="13840" max="13840" width="28" style="417" bestFit="1" customWidth="1"/>
    <col min="13841" max="13841" width="11.625" style="417" bestFit="1" customWidth="1"/>
    <col min="13842" max="14080" width="9" style="417"/>
    <col min="14081" max="14081" width="2.625" style="417" bestFit="1" customWidth="1"/>
    <col min="14082" max="14082" width="34.5" style="417" customWidth="1"/>
    <col min="14083" max="14093" width="11.25" style="417" customWidth="1"/>
    <col min="14094" max="14094" width="11.625" style="417" bestFit="1" customWidth="1"/>
    <col min="14095" max="14095" width="14.125" style="417" customWidth="1"/>
    <col min="14096" max="14096" width="28" style="417" bestFit="1" customWidth="1"/>
    <col min="14097" max="14097" width="11.625" style="417" bestFit="1" customWidth="1"/>
    <col min="14098" max="14336" width="9" style="417"/>
    <col min="14337" max="14337" width="2.625" style="417" bestFit="1" customWidth="1"/>
    <col min="14338" max="14338" width="34.5" style="417" customWidth="1"/>
    <col min="14339" max="14349" width="11.25" style="417" customWidth="1"/>
    <col min="14350" max="14350" width="11.625" style="417" bestFit="1" customWidth="1"/>
    <col min="14351" max="14351" width="14.125" style="417" customWidth="1"/>
    <col min="14352" max="14352" width="28" style="417" bestFit="1" customWidth="1"/>
    <col min="14353" max="14353" width="11.625" style="417" bestFit="1" customWidth="1"/>
    <col min="14354" max="14592" width="9" style="417"/>
    <col min="14593" max="14593" width="2.625" style="417" bestFit="1" customWidth="1"/>
    <col min="14594" max="14594" width="34.5" style="417" customWidth="1"/>
    <col min="14595" max="14605" width="11.25" style="417" customWidth="1"/>
    <col min="14606" max="14606" width="11.625" style="417" bestFit="1" customWidth="1"/>
    <col min="14607" max="14607" width="14.125" style="417" customWidth="1"/>
    <col min="14608" max="14608" width="28" style="417" bestFit="1" customWidth="1"/>
    <col min="14609" max="14609" width="11.625" style="417" bestFit="1" customWidth="1"/>
    <col min="14610" max="14848" width="9" style="417"/>
    <col min="14849" max="14849" width="2.625" style="417" bestFit="1" customWidth="1"/>
    <col min="14850" max="14850" width="34.5" style="417" customWidth="1"/>
    <col min="14851" max="14861" width="11.25" style="417" customWidth="1"/>
    <col min="14862" max="14862" width="11.625" style="417" bestFit="1" customWidth="1"/>
    <col min="14863" max="14863" width="14.125" style="417" customWidth="1"/>
    <col min="14864" max="14864" width="28" style="417" bestFit="1" customWidth="1"/>
    <col min="14865" max="14865" width="11.625" style="417" bestFit="1" customWidth="1"/>
    <col min="14866" max="15104" width="9" style="417"/>
    <col min="15105" max="15105" width="2.625" style="417" bestFit="1" customWidth="1"/>
    <col min="15106" max="15106" width="34.5" style="417" customWidth="1"/>
    <col min="15107" max="15117" width="11.25" style="417" customWidth="1"/>
    <col min="15118" max="15118" width="11.625" style="417" bestFit="1" customWidth="1"/>
    <col min="15119" max="15119" width="14.125" style="417" customWidth="1"/>
    <col min="15120" max="15120" width="28" style="417" bestFit="1" customWidth="1"/>
    <col min="15121" max="15121" width="11.625" style="417" bestFit="1" customWidth="1"/>
    <col min="15122" max="15360" width="9" style="417"/>
    <col min="15361" max="15361" width="2.625" style="417" bestFit="1" customWidth="1"/>
    <col min="15362" max="15362" width="34.5" style="417" customWidth="1"/>
    <col min="15363" max="15373" width="11.25" style="417" customWidth="1"/>
    <col min="15374" max="15374" width="11.625" style="417" bestFit="1" customWidth="1"/>
    <col min="15375" max="15375" width="14.125" style="417" customWidth="1"/>
    <col min="15376" max="15376" width="28" style="417" bestFit="1" customWidth="1"/>
    <col min="15377" max="15377" width="11.625" style="417" bestFit="1" customWidth="1"/>
    <col min="15378" max="15616" width="9" style="417"/>
    <col min="15617" max="15617" width="2.625" style="417" bestFit="1" customWidth="1"/>
    <col min="15618" max="15618" width="34.5" style="417" customWidth="1"/>
    <col min="15619" max="15629" width="11.25" style="417" customWidth="1"/>
    <col min="15630" max="15630" width="11.625" style="417" bestFit="1" customWidth="1"/>
    <col min="15631" max="15631" width="14.125" style="417" customWidth="1"/>
    <col min="15632" max="15632" width="28" style="417" bestFit="1" customWidth="1"/>
    <col min="15633" max="15633" width="11.625" style="417" bestFit="1" customWidth="1"/>
    <col min="15634" max="15872" width="9" style="417"/>
    <col min="15873" max="15873" width="2.625" style="417" bestFit="1" customWidth="1"/>
    <col min="15874" max="15874" width="34.5" style="417" customWidth="1"/>
    <col min="15875" max="15885" width="11.25" style="417" customWidth="1"/>
    <col min="15886" max="15886" width="11.625" style="417" bestFit="1" customWidth="1"/>
    <col min="15887" max="15887" width="14.125" style="417" customWidth="1"/>
    <col min="15888" max="15888" width="28" style="417" bestFit="1" customWidth="1"/>
    <col min="15889" max="15889" width="11.625" style="417" bestFit="1" customWidth="1"/>
    <col min="15890" max="16128" width="9" style="417"/>
    <col min="16129" max="16129" width="2.625" style="417" bestFit="1" customWidth="1"/>
    <col min="16130" max="16130" width="34.5" style="417" customWidth="1"/>
    <col min="16131" max="16141" width="11.25" style="417" customWidth="1"/>
    <col min="16142" max="16142" width="11.625" style="417" bestFit="1" customWidth="1"/>
    <col min="16143" max="16143" width="14.125" style="417" customWidth="1"/>
    <col min="16144" max="16144" width="28" style="417" bestFit="1" customWidth="1"/>
    <col min="16145" max="16145" width="11.625" style="417" bestFit="1" customWidth="1"/>
    <col min="16146" max="16384" width="9" style="417"/>
  </cols>
  <sheetData>
    <row r="1" spans="1:18" s="405" customFormat="1" x14ac:dyDescent="0.5">
      <c r="A1" s="485" t="s">
        <v>2495</v>
      </c>
      <c r="B1" s="485"/>
      <c r="C1" s="485"/>
      <c r="D1" s="485"/>
      <c r="E1" s="485"/>
      <c r="F1" s="485"/>
      <c r="G1" s="485"/>
      <c r="H1" s="485"/>
      <c r="I1" s="485"/>
      <c r="J1" s="485"/>
      <c r="K1" s="485"/>
      <c r="L1" s="485"/>
      <c r="M1" s="485"/>
      <c r="N1" s="485"/>
      <c r="O1" s="485"/>
    </row>
    <row r="2" spans="1:18" s="405" customFormat="1" x14ac:dyDescent="0.5">
      <c r="A2" s="485" t="s">
        <v>2496</v>
      </c>
      <c r="B2" s="485"/>
      <c r="C2" s="485"/>
      <c r="D2" s="485"/>
      <c r="E2" s="485"/>
      <c r="F2" s="485"/>
      <c r="G2" s="485"/>
      <c r="H2" s="485"/>
      <c r="I2" s="485"/>
      <c r="J2" s="485"/>
      <c r="K2" s="485"/>
      <c r="L2" s="485"/>
      <c r="M2" s="485"/>
      <c r="N2" s="485"/>
      <c r="O2" s="485"/>
    </row>
    <row r="3" spans="1:18" s="405" customFormat="1" x14ac:dyDescent="0.5">
      <c r="A3" s="486" t="s">
        <v>2817</v>
      </c>
      <c r="B3" s="486"/>
      <c r="C3" s="486"/>
      <c r="D3" s="486"/>
      <c r="E3" s="486"/>
      <c r="F3" s="486"/>
      <c r="G3" s="486"/>
      <c r="H3" s="486"/>
      <c r="I3" s="486"/>
      <c r="J3" s="486"/>
      <c r="K3" s="486"/>
      <c r="L3" s="486"/>
      <c r="M3" s="486"/>
      <c r="N3" s="486"/>
      <c r="O3" s="486"/>
    </row>
    <row r="4" spans="1:18" s="405" customFormat="1" x14ac:dyDescent="0.5">
      <c r="A4" s="449"/>
      <c r="B4" s="449"/>
      <c r="C4" s="449"/>
      <c r="D4" s="449"/>
      <c r="E4" s="449"/>
      <c r="F4" s="449"/>
      <c r="G4" s="449"/>
      <c r="H4" s="449"/>
      <c r="I4" s="449"/>
      <c r="J4" s="449"/>
      <c r="K4" s="449"/>
      <c r="L4" s="449"/>
      <c r="M4" s="449"/>
      <c r="N4" s="449"/>
      <c r="O4" s="449"/>
    </row>
    <row r="5" spans="1:18" s="406" customFormat="1" ht="21" x14ac:dyDescent="0.45">
      <c r="A5" s="487" t="s">
        <v>2497</v>
      </c>
      <c r="B5" s="487" t="s">
        <v>1915</v>
      </c>
      <c r="C5" s="489" t="s">
        <v>2498</v>
      </c>
      <c r="D5" s="490"/>
      <c r="E5" s="490"/>
      <c r="F5" s="490"/>
      <c r="G5" s="490"/>
      <c r="H5" s="490"/>
      <c r="I5" s="490"/>
      <c r="J5" s="490"/>
      <c r="K5" s="490"/>
      <c r="L5" s="490"/>
      <c r="M5" s="490"/>
      <c r="N5" s="491"/>
      <c r="O5" s="492" t="s">
        <v>1919</v>
      </c>
    </row>
    <row r="6" spans="1:18" s="406" customFormat="1" ht="21" x14ac:dyDescent="0.45">
      <c r="A6" s="488"/>
      <c r="B6" s="488"/>
      <c r="C6" s="407" t="s">
        <v>2499</v>
      </c>
      <c r="D6" s="407" t="s">
        <v>2500</v>
      </c>
      <c r="E6" s="407" t="s">
        <v>2501</v>
      </c>
      <c r="F6" s="407" t="s">
        <v>2502</v>
      </c>
      <c r="G6" s="407" t="s">
        <v>2503</v>
      </c>
      <c r="H6" s="407" t="s">
        <v>2504</v>
      </c>
      <c r="I6" s="407" t="s">
        <v>2505</v>
      </c>
      <c r="J6" s="407" t="s">
        <v>2506</v>
      </c>
      <c r="K6" s="407" t="s">
        <v>2507</v>
      </c>
      <c r="L6" s="407" t="s">
        <v>2508</v>
      </c>
      <c r="M6" s="407" t="s">
        <v>2509</v>
      </c>
      <c r="N6" s="407" t="s">
        <v>2510</v>
      </c>
      <c r="O6" s="493"/>
    </row>
    <row r="7" spans="1:18" s="409" customFormat="1" ht="21" x14ac:dyDescent="0.45">
      <c r="A7" s="311">
        <v>1</v>
      </c>
      <c r="B7" s="308" t="s">
        <v>739</v>
      </c>
      <c r="C7" s="187">
        <v>20000</v>
      </c>
      <c r="D7" s="187">
        <v>0</v>
      </c>
      <c r="E7" s="187">
        <v>0</v>
      </c>
      <c r="F7" s="187">
        <v>1098880</v>
      </c>
      <c r="G7" s="187">
        <v>0</v>
      </c>
      <c r="H7" s="187">
        <v>0</v>
      </c>
      <c r="I7" s="187">
        <v>0</v>
      </c>
      <c r="J7" s="187">
        <v>0</v>
      </c>
      <c r="K7" s="187">
        <v>0</v>
      </c>
      <c r="L7" s="187">
        <v>0</v>
      </c>
      <c r="M7" s="187">
        <v>94000</v>
      </c>
      <c r="N7" s="187">
        <v>1764650</v>
      </c>
      <c r="O7" s="408">
        <f>SUM(C7:N7)</f>
        <v>2977530</v>
      </c>
      <c r="P7" s="432"/>
      <c r="Q7" s="432"/>
      <c r="R7" s="433"/>
    </row>
    <row r="8" spans="1:18" s="409" customFormat="1" ht="21" x14ac:dyDescent="0.45">
      <c r="A8" s="311">
        <v>2</v>
      </c>
      <c r="B8" s="308" t="s">
        <v>360</v>
      </c>
      <c r="C8" s="187">
        <v>490200</v>
      </c>
      <c r="D8" s="187">
        <v>0</v>
      </c>
      <c r="E8" s="187">
        <v>15877</v>
      </c>
      <c r="F8" s="187">
        <v>758190</v>
      </c>
      <c r="G8" s="187">
        <v>0</v>
      </c>
      <c r="H8" s="187">
        <v>142500</v>
      </c>
      <c r="I8" s="187">
        <v>0</v>
      </c>
      <c r="J8" s="187">
        <v>0</v>
      </c>
      <c r="K8" s="187">
        <v>0</v>
      </c>
      <c r="L8" s="187">
        <v>203490</v>
      </c>
      <c r="M8" s="187">
        <v>0</v>
      </c>
      <c r="N8" s="187">
        <v>244245</v>
      </c>
      <c r="O8" s="408">
        <f>SUM(C8:N8)</f>
        <v>1854502</v>
      </c>
      <c r="P8" s="432"/>
      <c r="Q8" s="432"/>
      <c r="R8" s="433"/>
    </row>
    <row r="9" spans="1:18" s="409" customFormat="1" ht="21" x14ac:dyDescent="0.45">
      <c r="A9" s="311">
        <v>3</v>
      </c>
      <c r="B9" s="308" t="s">
        <v>2126</v>
      </c>
      <c r="C9" s="187">
        <v>171000</v>
      </c>
      <c r="D9" s="187">
        <v>0</v>
      </c>
      <c r="E9" s="187">
        <v>0</v>
      </c>
      <c r="F9" s="187">
        <v>0</v>
      </c>
      <c r="G9" s="187">
        <v>0</v>
      </c>
      <c r="H9" s="187">
        <v>0</v>
      </c>
      <c r="I9" s="187">
        <v>142500</v>
      </c>
      <c r="J9" s="187">
        <v>0</v>
      </c>
      <c r="K9" s="187">
        <v>0</v>
      </c>
      <c r="L9" s="187">
        <v>114000</v>
      </c>
      <c r="M9" s="187">
        <v>0</v>
      </c>
      <c r="N9" s="187">
        <v>0</v>
      </c>
      <c r="O9" s="408">
        <f>SUM(C9:N9)</f>
        <v>427500</v>
      </c>
      <c r="P9" s="432"/>
      <c r="Q9" s="432"/>
      <c r="R9" s="433"/>
    </row>
    <row r="10" spans="1:18" s="409" customFormat="1" ht="21" x14ac:dyDescent="0.45">
      <c r="A10" s="311">
        <v>4</v>
      </c>
      <c r="B10" s="308" t="s">
        <v>161</v>
      </c>
      <c r="C10" s="187">
        <v>50000</v>
      </c>
      <c r="D10" s="187">
        <v>353000</v>
      </c>
      <c r="E10" s="187">
        <v>0</v>
      </c>
      <c r="F10" s="187">
        <f>1109496-39546</f>
        <v>1069950</v>
      </c>
      <c r="G10" s="187">
        <v>304000</v>
      </c>
      <c r="H10" s="187">
        <f>1024433-39546</f>
        <v>984887</v>
      </c>
      <c r="I10" s="187">
        <v>389025</v>
      </c>
      <c r="J10" s="187">
        <v>22500</v>
      </c>
      <c r="K10" s="187">
        <v>47500</v>
      </c>
      <c r="L10" s="187">
        <v>440000</v>
      </c>
      <c r="M10" s="187">
        <v>135100</v>
      </c>
      <c r="N10" s="187">
        <v>2681251</v>
      </c>
      <c r="O10" s="408">
        <f>SUM(C10:N10)</f>
        <v>6477213</v>
      </c>
      <c r="P10" s="432"/>
      <c r="Q10" s="432"/>
      <c r="R10" s="433"/>
    </row>
    <row r="11" spans="1:18" s="409" customFormat="1" ht="21" x14ac:dyDescent="0.45">
      <c r="A11" s="311">
        <v>5</v>
      </c>
      <c r="B11" s="308" t="s">
        <v>156</v>
      </c>
      <c r="C11" s="187">
        <v>0</v>
      </c>
      <c r="D11" s="187">
        <v>0</v>
      </c>
      <c r="E11" s="187">
        <v>0</v>
      </c>
      <c r="F11" s="187">
        <v>0</v>
      </c>
      <c r="G11" s="187">
        <v>0</v>
      </c>
      <c r="H11" s="187">
        <v>0</v>
      </c>
      <c r="I11" s="187">
        <v>0</v>
      </c>
      <c r="J11" s="187">
        <v>0</v>
      </c>
      <c r="K11" s="187">
        <v>38190</v>
      </c>
      <c r="L11" s="187">
        <v>0</v>
      </c>
      <c r="M11" s="187">
        <v>0</v>
      </c>
      <c r="N11" s="187">
        <v>3200000</v>
      </c>
      <c r="O11" s="408">
        <f>SUM(C11:N11)</f>
        <v>3238190</v>
      </c>
      <c r="P11" s="432"/>
      <c r="Q11" s="432"/>
      <c r="R11" s="433"/>
    </row>
    <row r="12" spans="1:18" s="409" customFormat="1" ht="21" x14ac:dyDescent="0.45">
      <c r="A12" s="311">
        <v>6</v>
      </c>
      <c r="B12" s="308" t="s">
        <v>2434</v>
      </c>
      <c r="C12" s="187">
        <v>440300</v>
      </c>
      <c r="D12" s="187">
        <v>264666</v>
      </c>
      <c r="E12" s="187">
        <v>134000</v>
      </c>
      <c r="F12" s="187">
        <v>1644762</v>
      </c>
      <c r="G12" s="187">
        <v>381875</v>
      </c>
      <c r="H12" s="187">
        <v>300390</v>
      </c>
      <c r="I12" s="187">
        <v>584250</v>
      </c>
      <c r="J12" s="187">
        <v>1239450</v>
      </c>
      <c r="K12" s="187">
        <v>792265.6</v>
      </c>
      <c r="L12" s="187">
        <v>0</v>
      </c>
      <c r="M12" s="187">
        <v>1197500</v>
      </c>
      <c r="N12" s="187">
        <v>3029500</v>
      </c>
      <c r="O12" s="408">
        <f>SUM(C12:N12)</f>
        <v>10008958.6</v>
      </c>
      <c r="P12" s="432"/>
      <c r="Q12" s="432"/>
      <c r="R12" s="433"/>
    </row>
    <row r="13" spans="1:18" s="409" customFormat="1" ht="21" x14ac:dyDescent="0.45">
      <c r="A13" s="311">
        <v>7</v>
      </c>
      <c r="B13" s="410" t="s">
        <v>1229</v>
      </c>
      <c r="C13" s="411">
        <v>0</v>
      </c>
      <c r="D13" s="411">
        <v>0</v>
      </c>
      <c r="E13" s="411">
        <v>0</v>
      </c>
      <c r="F13" s="411">
        <v>0</v>
      </c>
      <c r="G13" s="187">
        <v>168150</v>
      </c>
      <c r="H13" s="187">
        <v>357613</v>
      </c>
      <c r="I13" s="187"/>
      <c r="J13" s="187"/>
      <c r="K13" s="187"/>
      <c r="L13" s="187"/>
      <c r="M13" s="187">
        <v>10000</v>
      </c>
      <c r="N13" s="187"/>
      <c r="O13" s="408">
        <f>SUM(C13:N13)</f>
        <v>535763</v>
      </c>
      <c r="P13" s="432"/>
      <c r="Q13" s="432"/>
      <c r="R13" s="433"/>
    </row>
    <row r="14" spans="1:18" s="409" customFormat="1" ht="21" x14ac:dyDescent="0.45">
      <c r="A14" s="311">
        <v>8</v>
      </c>
      <c r="B14" s="308" t="s">
        <v>19</v>
      </c>
      <c r="C14" s="187">
        <v>171000</v>
      </c>
      <c r="D14" s="187">
        <v>0</v>
      </c>
      <c r="E14" s="187">
        <v>0</v>
      </c>
      <c r="F14" s="187">
        <v>0</v>
      </c>
      <c r="G14" s="187">
        <v>114000</v>
      </c>
      <c r="H14" s="187">
        <v>150000</v>
      </c>
      <c r="I14" s="187">
        <v>285000</v>
      </c>
      <c r="J14" s="187">
        <v>234000</v>
      </c>
      <c r="K14" s="187">
        <v>30000</v>
      </c>
      <c r="L14" s="187">
        <v>1342000</v>
      </c>
      <c r="M14" s="187">
        <v>0</v>
      </c>
      <c r="N14" s="187">
        <v>831400</v>
      </c>
      <c r="O14" s="408">
        <f>SUM(C14:N14)</f>
        <v>3157400</v>
      </c>
      <c r="P14" s="432"/>
      <c r="Q14" s="432"/>
      <c r="R14" s="433"/>
    </row>
    <row r="15" spans="1:18" s="409" customFormat="1" ht="21" x14ac:dyDescent="0.45">
      <c r="A15" s="311">
        <v>9</v>
      </c>
      <c r="B15" s="308" t="s">
        <v>117</v>
      </c>
      <c r="C15" s="187">
        <v>543050</v>
      </c>
      <c r="D15" s="187">
        <v>817000</v>
      </c>
      <c r="E15" s="187">
        <v>232000</v>
      </c>
      <c r="F15" s="187">
        <v>39000</v>
      </c>
      <c r="G15" s="187">
        <v>0</v>
      </c>
      <c r="H15" s="187">
        <v>0</v>
      </c>
      <c r="I15" s="187">
        <v>39000</v>
      </c>
      <c r="J15" s="187">
        <v>133000</v>
      </c>
      <c r="K15" s="187">
        <v>190000</v>
      </c>
      <c r="L15" s="187">
        <v>20000</v>
      </c>
      <c r="M15" s="187">
        <v>0</v>
      </c>
      <c r="N15" s="187">
        <v>2620000</v>
      </c>
      <c r="O15" s="408">
        <f>SUM(C15:N15)</f>
        <v>4633050</v>
      </c>
      <c r="P15" s="432"/>
      <c r="Q15" s="432"/>
      <c r="R15" s="433"/>
    </row>
    <row r="16" spans="1:18" s="409" customFormat="1" ht="21" x14ac:dyDescent="0.45">
      <c r="A16" s="311">
        <v>10</v>
      </c>
      <c r="B16" s="410" t="s">
        <v>2818</v>
      </c>
      <c r="C16" s="411">
        <v>0</v>
      </c>
      <c r="D16" s="411">
        <v>0</v>
      </c>
      <c r="E16" s="411">
        <v>0</v>
      </c>
      <c r="F16" s="411">
        <v>0</v>
      </c>
      <c r="G16" s="187">
        <v>0</v>
      </c>
      <c r="H16" s="187">
        <v>0</v>
      </c>
      <c r="I16" s="187">
        <v>0</v>
      </c>
      <c r="J16" s="187">
        <v>0</v>
      </c>
      <c r="K16" s="187">
        <v>0</v>
      </c>
      <c r="L16" s="187">
        <v>0</v>
      </c>
      <c r="M16" s="187">
        <v>0</v>
      </c>
      <c r="N16" s="187">
        <v>1269250</v>
      </c>
      <c r="O16" s="408">
        <f>SUM(C16:N16)</f>
        <v>1269250</v>
      </c>
      <c r="P16" s="432"/>
      <c r="Q16" s="432"/>
      <c r="R16" s="433"/>
    </row>
    <row r="17" spans="1:18" s="409" customFormat="1" ht="21" x14ac:dyDescent="0.45">
      <c r="A17" s="311">
        <v>11</v>
      </c>
      <c r="B17" s="308" t="s">
        <v>706</v>
      </c>
      <c r="C17" s="187">
        <v>751732</v>
      </c>
      <c r="D17" s="187">
        <v>0</v>
      </c>
      <c r="E17" s="187">
        <v>0</v>
      </c>
      <c r="F17" s="187">
        <v>0</v>
      </c>
      <c r="G17" s="187">
        <v>60000</v>
      </c>
      <c r="H17" s="187">
        <v>0</v>
      </c>
      <c r="I17" s="187">
        <v>0</v>
      </c>
      <c r="J17" s="187">
        <v>0</v>
      </c>
      <c r="K17" s="187">
        <v>0</v>
      </c>
      <c r="L17" s="187">
        <v>0</v>
      </c>
      <c r="M17" s="187">
        <v>0</v>
      </c>
      <c r="N17" s="187">
        <v>935800</v>
      </c>
      <c r="O17" s="408">
        <f t="shared" ref="O17:O22" si="0">SUM(C17:N17)</f>
        <v>1747532</v>
      </c>
      <c r="P17" s="432"/>
      <c r="Q17" s="432"/>
      <c r="R17" s="433"/>
    </row>
    <row r="18" spans="1:18" s="409" customFormat="1" ht="21" x14ac:dyDescent="0.45">
      <c r="A18" s="311">
        <v>12</v>
      </c>
      <c r="B18" s="410" t="s">
        <v>923</v>
      </c>
      <c r="C18" s="411">
        <v>0</v>
      </c>
      <c r="D18" s="411">
        <v>0</v>
      </c>
      <c r="E18" s="411">
        <v>0</v>
      </c>
      <c r="F18" s="411">
        <v>309000</v>
      </c>
      <c r="G18" s="187">
        <v>0</v>
      </c>
      <c r="H18" s="187">
        <v>0</v>
      </c>
      <c r="I18" s="187">
        <v>0</v>
      </c>
      <c r="J18" s="187">
        <v>0</v>
      </c>
      <c r="K18" s="187">
        <v>0</v>
      </c>
      <c r="L18" s="187">
        <v>0</v>
      </c>
      <c r="M18" s="187">
        <v>0</v>
      </c>
      <c r="N18" s="187">
        <v>0</v>
      </c>
      <c r="O18" s="408">
        <f t="shared" si="0"/>
        <v>309000</v>
      </c>
      <c r="P18" s="432"/>
      <c r="Q18" s="432"/>
      <c r="R18" s="433"/>
    </row>
    <row r="19" spans="1:18" s="409" customFormat="1" ht="21" x14ac:dyDescent="0.45">
      <c r="A19" s="311">
        <v>13</v>
      </c>
      <c r="B19" s="410" t="s">
        <v>2554</v>
      </c>
      <c r="C19" s="411">
        <v>0</v>
      </c>
      <c r="D19" s="411">
        <v>0</v>
      </c>
      <c r="E19" s="411">
        <v>0</v>
      </c>
      <c r="F19" s="411">
        <v>1290960</v>
      </c>
      <c r="G19" s="187">
        <v>0</v>
      </c>
      <c r="H19" s="187">
        <v>1012800</v>
      </c>
      <c r="I19" s="187">
        <v>0</v>
      </c>
      <c r="J19" s="187">
        <v>0</v>
      </c>
      <c r="K19" s="187">
        <v>781500</v>
      </c>
      <c r="L19" s="187">
        <v>0</v>
      </c>
      <c r="M19" s="187">
        <v>620000</v>
      </c>
      <c r="N19" s="187">
        <v>4538070</v>
      </c>
      <c r="O19" s="408">
        <f>SUM(C19:N19)</f>
        <v>8243330</v>
      </c>
      <c r="P19" s="432"/>
      <c r="Q19" s="432"/>
      <c r="R19" s="433"/>
    </row>
    <row r="20" spans="1:18" s="409" customFormat="1" ht="21" x14ac:dyDescent="0.45">
      <c r="A20" s="311">
        <v>14</v>
      </c>
      <c r="B20" s="308" t="s">
        <v>2149</v>
      </c>
      <c r="C20" s="187">
        <v>100000</v>
      </c>
      <c r="D20" s="187">
        <v>234000</v>
      </c>
      <c r="E20" s="187">
        <v>0</v>
      </c>
      <c r="F20" s="187">
        <v>0</v>
      </c>
      <c r="G20" s="187">
        <v>350000</v>
      </c>
      <c r="H20" s="187">
        <v>0</v>
      </c>
      <c r="I20" s="187">
        <v>0</v>
      </c>
      <c r="J20" s="187">
        <v>0</v>
      </c>
      <c r="K20" s="187">
        <v>0</v>
      </c>
      <c r="L20" s="187">
        <v>0</v>
      </c>
      <c r="M20" s="187">
        <v>0</v>
      </c>
      <c r="N20" s="187">
        <v>0</v>
      </c>
      <c r="O20" s="408">
        <f t="shared" si="0"/>
        <v>684000</v>
      </c>
      <c r="P20" s="432"/>
      <c r="Q20" s="432"/>
      <c r="R20" s="433"/>
    </row>
    <row r="21" spans="1:18" s="409" customFormat="1" ht="21" x14ac:dyDescent="0.45">
      <c r="A21" s="311">
        <v>15</v>
      </c>
      <c r="B21" s="410" t="s">
        <v>2467</v>
      </c>
      <c r="C21" s="411">
        <v>0</v>
      </c>
      <c r="D21" s="411">
        <v>205000</v>
      </c>
      <c r="E21" s="187">
        <v>0</v>
      </c>
      <c r="F21" s="187">
        <v>545800</v>
      </c>
      <c r="G21" s="187">
        <v>0</v>
      </c>
      <c r="H21" s="187">
        <v>0</v>
      </c>
      <c r="I21" s="187">
        <v>0</v>
      </c>
      <c r="J21" s="187">
        <v>0</v>
      </c>
      <c r="K21" s="187">
        <v>0</v>
      </c>
      <c r="L21" s="187">
        <v>0</v>
      </c>
      <c r="M21" s="187">
        <v>0</v>
      </c>
      <c r="N21" s="187">
        <v>435000</v>
      </c>
      <c r="O21" s="408">
        <f t="shared" si="0"/>
        <v>1185800</v>
      </c>
      <c r="P21" s="432"/>
      <c r="Q21" s="432"/>
      <c r="R21" s="433"/>
    </row>
    <row r="22" spans="1:18" s="409" customFormat="1" ht="21" x14ac:dyDescent="0.45">
      <c r="A22" s="311">
        <v>16</v>
      </c>
      <c r="B22" s="308" t="s">
        <v>2555</v>
      </c>
      <c r="C22" s="411">
        <v>0</v>
      </c>
      <c r="D22" s="411">
        <v>0</v>
      </c>
      <c r="E22" s="411">
        <v>0</v>
      </c>
      <c r="F22" s="411">
        <v>0</v>
      </c>
      <c r="G22" s="411">
        <v>4407293.5</v>
      </c>
      <c r="H22" s="187">
        <v>0</v>
      </c>
      <c r="I22" s="187">
        <v>0</v>
      </c>
      <c r="J22" s="187">
        <v>0</v>
      </c>
      <c r="K22" s="187">
        <v>0</v>
      </c>
      <c r="L22" s="187">
        <v>0</v>
      </c>
      <c r="M22" s="187">
        <v>0</v>
      </c>
      <c r="N22" s="187">
        <v>0</v>
      </c>
      <c r="O22" s="408">
        <f t="shared" si="0"/>
        <v>4407293.5</v>
      </c>
      <c r="P22" s="432"/>
      <c r="Q22" s="432"/>
      <c r="R22" s="433"/>
    </row>
    <row r="23" spans="1:18" s="414" customFormat="1" ht="21.75" thickBot="1" x14ac:dyDescent="0.5">
      <c r="A23" s="483" t="s">
        <v>1919</v>
      </c>
      <c r="B23" s="484"/>
      <c r="C23" s="412">
        <f t="shared" ref="C23:O23" si="1">SUM(C7:C22)</f>
        <v>2737282</v>
      </c>
      <c r="D23" s="412">
        <f t="shared" si="1"/>
        <v>1873666</v>
      </c>
      <c r="E23" s="412">
        <f t="shared" si="1"/>
        <v>381877</v>
      </c>
      <c r="F23" s="412">
        <f t="shared" si="1"/>
        <v>6756542</v>
      </c>
      <c r="G23" s="412">
        <f t="shared" si="1"/>
        <v>5785318.5</v>
      </c>
      <c r="H23" s="412">
        <f t="shared" si="1"/>
        <v>2948190</v>
      </c>
      <c r="I23" s="412">
        <f t="shared" si="1"/>
        <v>1439775</v>
      </c>
      <c r="J23" s="412">
        <f t="shared" si="1"/>
        <v>1628950</v>
      </c>
      <c r="K23" s="412">
        <f t="shared" si="1"/>
        <v>1879455.6</v>
      </c>
      <c r="L23" s="412">
        <f t="shared" si="1"/>
        <v>2119490</v>
      </c>
      <c r="M23" s="412">
        <f t="shared" si="1"/>
        <v>2056600</v>
      </c>
      <c r="N23" s="412">
        <f t="shared" si="1"/>
        <v>21549166</v>
      </c>
      <c r="O23" s="413">
        <f t="shared" si="1"/>
        <v>51156312.100000001</v>
      </c>
      <c r="P23" s="434"/>
      <c r="Q23" s="434"/>
      <c r="R23" s="433"/>
    </row>
    <row r="24" spans="1:18" s="414" customFormat="1" ht="21.75" thickTop="1" x14ac:dyDescent="0.45">
      <c r="A24" s="415"/>
      <c r="B24" s="415"/>
      <c r="C24" s="416"/>
      <c r="D24" s="416"/>
      <c r="E24" s="416"/>
      <c r="F24" s="416"/>
      <c r="G24" s="416"/>
      <c r="H24" s="416"/>
      <c r="I24" s="416"/>
      <c r="J24" s="416"/>
      <c r="K24" s="416"/>
      <c r="L24" s="416"/>
      <c r="M24" s="416"/>
      <c r="N24" s="416"/>
      <c r="O24" s="416"/>
    </row>
  </sheetData>
  <mergeCells count="8">
    <mergeCell ref="A23:B23"/>
    <mergeCell ref="A1:O1"/>
    <mergeCell ref="A2:O2"/>
    <mergeCell ref="A3:O3"/>
    <mergeCell ref="A5:A6"/>
    <mergeCell ref="B5:B6"/>
    <mergeCell ref="C5:N5"/>
    <mergeCell ref="O5:O6"/>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61"/>
  <sheetViews>
    <sheetView topLeftCell="A118" workbookViewId="0">
      <selection activeCell="A3" sqref="A3:O3"/>
    </sheetView>
  </sheetViews>
  <sheetFormatPr defaultRowHeight="19.5" x14ac:dyDescent="0.45"/>
  <cols>
    <col min="1" max="1" width="4.625" style="245" customWidth="1"/>
    <col min="2" max="2" width="9.125" style="271" customWidth="1"/>
    <col min="3" max="3" width="10.625" style="245" customWidth="1"/>
    <col min="4" max="4" width="16.625" style="245" customWidth="1"/>
    <col min="5" max="5" width="22.625" style="247" customWidth="1"/>
    <col min="6" max="7" width="17.125" style="206" customWidth="1"/>
    <col min="8" max="8" width="28.125" style="206" customWidth="1"/>
    <col min="9" max="9" width="12.625" style="248" customWidth="1"/>
    <col min="10" max="13" width="11.625" style="206" customWidth="1"/>
    <col min="14" max="14" width="9.625" style="206" customWidth="1"/>
    <col min="15" max="15" width="11.625" style="206" customWidth="1"/>
    <col min="16" max="16384" width="9" style="206"/>
  </cols>
  <sheetData>
    <row r="1" spans="1:16" ht="21" x14ac:dyDescent="0.45">
      <c r="A1" s="560" t="s">
        <v>250</v>
      </c>
      <c r="B1" s="560"/>
      <c r="C1" s="560"/>
      <c r="D1" s="560"/>
      <c r="E1" s="560"/>
      <c r="F1" s="560"/>
      <c r="G1" s="560"/>
      <c r="H1" s="560"/>
      <c r="I1" s="560"/>
      <c r="J1" s="560"/>
      <c r="K1" s="560"/>
      <c r="L1" s="560"/>
      <c r="M1" s="560"/>
      <c r="N1" s="560"/>
      <c r="O1" s="560"/>
    </row>
    <row r="2" spans="1:16" ht="21" x14ac:dyDescent="0.45">
      <c r="A2" s="560" t="s">
        <v>251</v>
      </c>
      <c r="B2" s="560"/>
      <c r="C2" s="560"/>
      <c r="D2" s="560"/>
      <c r="E2" s="560"/>
      <c r="F2" s="560"/>
      <c r="G2" s="560"/>
      <c r="H2" s="560"/>
      <c r="I2" s="560"/>
      <c r="J2" s="560"/>
      <c r="K2" s="560"/>
      <c r="L2" s="560"/>
      <c r="M2" s="560"/>
      <c r="N2" s="560"/>
      <c r="O2" s="560"/>
    </row>
    <row r="3" spans="1:16" ht="21" x14ac:dyDescent="0.45">
      <c r="A3" s="560" t="s">
        <v>1285</v>
      </c>
      <c r="B3" s="560"/>
      <c r="C3" s="560"/>
      <c r="D3" s="560"/>
      <c r="E3" s="560"/>
      <c r="F3" s="560"/>
      <c r="G3" s="560"/>
      <c r="H3" s="560"/>
      <c r="I3" s="560"/>
      <c r="J3" s="560"/>
      <c r="K3" s="560"/>
      <c r="L3" s="560"/>
      <c r="M3" s="560"/>
      <c r="N3" s="560"/>
      <c r="O3" s="560"/>
    </row>
    <row r="4" spans="1:16" s="210" customFormat="1" ht="20.25" thickBot="1" x14ac:dyDescent="0.5">
      <c r="A4" s="207"/>
      <c r="B4" s="250"/>
      <c r="C4" s="207"/>
      <c r="D4" s="207"/>
      <c r="E4" s="209"/>
      <c r="I4" s="211"/>
    </row>
    <row r="5" spans="1:16" s="213" customFormat="1" ht="18.75" x14ac:dyDescent="0.4">
      <c r="A5" s="561" t="s">
        <v>253</v>
      </c>
      <c r="B5" s="563" t="s">
        <v>254</v>
      </c>
      <c r="C5" s="564"/>
      <c r="D5" s="564"/>
      <c r="E5" s="564"/>
      <c r="F5" s="564"/>
      <c r="G5" s="564"/>
      <c r="H5" s="564"/>
      <c r="I5" s="565"/>
      <c r="J5" s="566" t="s">
        <v>255</v>
      </c>
      <c r="K5" s="567"/>
      <c r="L5" s="567"/>
      <c r="M5" s="567"/>
      <c r="N5" s="568"/>
      <c r="O5" s="569" t="s">
        <v>256</v>
      </c>
      <c r="P5" s="212"/>
    </row>
    <row r="6" spans="1:16" s="214" customFormat="1" ht="18.75" x14ac:dyDescent="0.2">
      <c r="A6" s="562"/>
      <c r="B6" s="584" t="s">
        <v>257</v>
      </c>
      <c r="C6" s="585" t="s">
        <v>2</v>
      </c>
      <c r="D6" s="585" t="s">
        <v>258</v>
      </c>
      <c r="E6" s="586" t="s">
        <v>259</v>
      </c>
      <c r="F6" s="585" t="s">
        <v>260</v>
      </c>
      <c r="G6" s="585" t="s">
        <v>261</v>
      </c>
      <c r="H6" s="585" t="s">
        <v>262</v>
      </c>
      <c r="I6" s="577" t="s">
        <v>263</v>
      </c>
      <c r="J6" s="557" t="s">
        <v>264</v>
      </c>
      <c r="K6" s="558"/>
      <c r="L6" s="557" t="s">
        <v>265</v>
      </c>
      <c r="M6" s="558"/>
      <c r="N6" s="575"/>
      <c r="O6" s="570"/>
    </row>
    <row r="7" spans="1:16" s="213" customFormat="1" ht="75" x14ac:dyDescent="0.4">
      <c r="A7" s="582"/>
      <c r="B7" s="584"/>
      <c r="C7" s="585"/>
      <c r="D7" s="585"/>
      <c r="E7" s="587"/>
      <c r="F7" s="585"/>
      <c r="G7" s="585"/>
      <c r="H7" s="585"/>
      <c r="I7" s="577"/>
      <c r="J7" s="215" t="s">
        <v>266</v>
      </c>
      <c r="K7" s="215" t="s">
        <v>267</v>
      </c>
      <c r="L7" s="215" t="s">
        <v>266</v>
      </c>
      <c r="M7" s="215" t="s">
        <v>267</v>
      </c>
      <c r="N7" s="215" t="s">
        <v>894</v>
      </c>
      <c r="O7" s="583"/>
      <c r="P7" s="212"/>
    </row>
    <row r="8" spans="1:16" x14ac:dyDescent="0.45">
      <c r="A8" s="216" t="s">
        <v>526</v>
      </c>
      <c r="B8" s="251"/>
      <c r="C8" s="217"/>
      <c r="D8" s="217"/>
      <c r="E8" s="218"/>
      <c r="F8" s="219"/>
      <c r="G8" s="219"/>
      <c r="H8" s="219"/>
      <c r="I8" s="220">
        <f t="shared" ref="I8:O8" si="0">SUM(I9:I9)</f>
        <v>26600</v>
      </c>
      <c r="J8" s="220">
        <f t="shared" si="0"/>
        <v>0</v>
      </c>
      <c r="K8" s="220">
        <f t="shared" si="0"/>
        <v>0</v>
      </c>
      <c r="L8" s="220">
        <f t="shared" si="0"/>
        <v>13300</v>
      </c>
      <c r="M8" s="220">
        <f t="shared" si="0"/>
        <v>13300</v>
      </c>
      <c r="N8" s="220">
        <f t="shared" si="0"/>
        <v>0</v>
      </c>
      <c r="O8" s="234">
        <f t="shared" si="0"/>
        <v>0</v>
      </c>
    </row>
    <row r="9" spans="1:16" s="228" customFormat="1" ht="117" x14ac:dyDescent="0.2">
      <c r="A9" s="221">
        <v>1</v>
      </c>
      <c r="B9" s="252" t="s">
        <v>1286</v>
      </c>
      <c r="C9" s="229" t="s">
        <v>1287</v>
      </c>
      <c r="D9" s="222" t="s">
        <v>1288</v>
      </c>
      <c r="E9" s="223" t="s">
        <v>1289</v>
      </c>
      <c r="F9" s="223" t="s">
        <v>923</v>
      </c>
      <c r="G9" s="223" t="s">
        <v>1103</v>
      </c>
      <c r="H9" s="224" t="s">
        <v>1290</v>
      </c>
      <c r="I9" s="225">
        <v>26600</v>
      </c>
      <c r="J9" s="226">
        <v>0</v>
      </c>
      <c r="K9" s="226">
        <v>0</v>
      </c>
      <c r="L9" s="226">
        <v>13300</v>
      </c>
      <c r="M9" s="226">
        <v>13300</v>
      </c>
      <c r="N9" s="226">
        <v>0</v>
      </c>
      <c r="O9" s="253">
        <f t="shared" ref="O9:O87" si="1">+I9-(SUM(J9:N9))</f>
        <v>0</v>
      </c>
    </row>
    <row r="10" spans="1:16" x14ac:dyDescent="0.45">
      <c r="A10" s="216" t="s">
        <v>269</v>
      </c>
      <c r="B10" s="251"/>
      <c r="C10" s="217"/>
      <c r="D10" s="217"/>
      <c r="E10" s="218"/>
      <c r="F10" s="219"/>
      <c r="G10" s="219"/>
      <c r="H10" s="219"/>
      <c r="I10" s="220">
        <f>SUM(I11:I59)</f>
        <v>10809491</v>
      </c>
      <c r="J10" s="220">
        <f t="shared" ref="J10:O10" si="2">SUM(J11:J59)</f>
        <v>617755.1</v>
      </c>
      <c r="K10" s="220">
        <f t="shared" si="2"/>
        <v>617755.1</v>
      </c>
      <c r="L10" s="220">
        <f t="shared" si="2"/>
        <v>56078.32</v>
      </c>
      <c r="M10" s="220">
        <f t="shared" si="2"/>
        <v>56078.32</v>
      </c>
      <c r="N10" s="220">
        <f t="shared" si="2"/>
        <v>0</v>
      </c>
      <c r="O10" s="220">
        <f t="shared" si="2"/>
        <v>9461824.1600000001</v>
      </c>
    </row>
    <row r="11" spans="1:16" s="228" customFormat="1" ht="97.5" x14ac:dyDescent="0.2">
      <c r="A11" s="221">
        <v>1</v>
      </c>
      <c r="B11" s="252" t="s">
        <v>1291</v>
      </c>
      <c r="C11" s="229" t="s">
        <v>1292</v>
      </c>
      <c r="D11" s="222" t="s">
        <v>1293</v>
      </c>
      <c r="E11" s="223" t="s">
        <v>115</v>
      </c>
      <c r="F11" s="223" t="s">
        <v>117</v>
      </c>
      <c r="G11" s="223" t="s">
        <v>1294</v>
      </c>
      <c r="H11" s="224" t="s">
        <v>545</v>
      </c>
      <c r="I11" s="225">
        <v>1034000</v>
      </c>
      <c r="J11" s="226">
        <v>51700</v>
      </c>
      <c r="K11" s="226">
        <v>51700</v>
      </c>
      <c r="L11" s="226">
        <v>0</v>
      </c>
      <c r="M11" s="226">
        <v>0</v>
      </c>
      <c r="N11" s="233">
        <v>0</v>
      </c>
      <c r="O11" s="253">
        <f t="shared" si="1"/>
        <v>930600</v>
      </c>
    </row>
    <row r="12" spans="1:16" s="228" customFormat="1" ht="97.5" x14ac:dyDescent="0.2">
      <c r="A12" s="221">
        <v>2</v>
      </c>
      <c r="B12" s="252" t="s">
        <v>1295</v>
      </c>
      <c r="C12" s="229" t="s">
        <v>1296</v>
      </c>
      <c r="D12" s="222" t="s">
        <v>1297</v>
      </c>
      <c r="E12" s="223" t="s">
        <v>115</v>
      </c>
      <c r="F12" s="223" t="s">
        <v>117</v>
      </c>
      <c r="G12" s="223" t="s">
        <v>322</v>
      </c>
      <c r="H12" s="224" t="s">
        <v>545</v>
      </c>
      <c r="I12" s="225">
        <v>398000</v>
      </c>
      <c r="J12" s="226">
        <v>19900</v>
      </c>
      <c r="K12" s="226">
        <v>19900</v>
      </c>
      <c r="L12" s="226">
        <v>0</v>
      </c>
      <c r="M12" s="226">
        <v>0</v>
      </c>
      <c r="N12" s="233">
        <v>0</v>
      </c>
      <c r="O12" s="227">
        <f t="shared" si="1"/>
        <v>358200</v>
      </c>
    </row>
    <row r="13" spans="1:16" s="228" customFormat="1" ht="155.25" x14ac:dyDescent="0.2">
      <c r="A13" s="221">
        <v>3</v>
      </c>
      <c r="B13" s="254" t="s">
        <v>1295</v>
      </c>
      <c r="C13" s="249" t="s">
        <v>1298</v>
      </c>
      <c r="D13" s="230" t="s">
        <v>1299</v>
      </c>
      <c r="E13" s="231" t="s">
        <v>1300</v>
      </c>
      <c r="F13" s="231" t="s">
        <v>161</v>
      </c>
      <c r="G13" s="231" t="s">
        <v>1301</v>
      </c>
      <c r="H13" s="232" t="s">
        <v>1302</v>
      </c>
      <c r="I13" s="226">
        <v>54280</v>
      </c>
      <c r="J13" s="226">
        <v>0</v>
      </c>
      <c r="K13" s="226">
        <v>0</v>
      </c>
      <c r="L13" s="226">
        <v>27140</v>
      </c>
      <c r="M13" s="226">
        <v>27140</v>
      </c>
      <c r="N13" s="233">
        <v>0</v>
      </c>
      <c r="O13" s="227">
        <f t="shared" si="1"/>
        <v>0</v>
      </c>
    </row>
    <row r="14" spans="1:16" s="228" customFormat="1" ht="117" x14ac:dyDescent="0.2">
      <c r="A14" s="221">
        <v>4</v>
      </c>
      <c r="B14" s="254" t="s">
        <v>1303</v>
      </c>
      <c r="C14" s="249" t="s">
        <v>1304</v>
      </c>
      <c r="D14" s="230" t="s">
        <v>1305</v>
      </c>
      <c r="E14" s="231" t="s">
        <v>595</v>
      </c>
      <c r="F14" s="231" t="s">
        <v>161</v>
      </c>
      <c r="G14" s="231" t="s">
        <v>596</v>
      </c>
      <c r="H14" s="232" t="s">
        <v>1306</v>
      </c>
      <c r="I14" s="226">
        <v>150000</v>
      </c>
      <c r="J14" s="226">
        <v>7500</v>
      </c>
      <c r="K14" s="226">
        <v>7500</v>
      </c>
      <c r="L14" s="226">
        <v>0</v>
      </c>
      <c r="M14" s="226">
        <v>0</v>
      </c>
      <c r="N14" s="233">
        <v>0</v>
      </c>
      <c r="O14" s="227">
        <f t="shared" si="1"/>
        <v>135000</v>
      </c>
    </row>
    <row r="15" spans="1:16" s="228" customFormat="1" ht="97.5" x14ac:dyDescent="0.2">
      <c r="A15" s="221">
        <v>5</v>
      </c>
      <c r="B15" s="254" t="s">
        <v>1307</v>
      </c>
      <c r="C15" s="249" t="s">
        <v>1308</v>
      </c>
      <c r="D15" s="230" t="s">
        <v>1309</v>
      </c>
      <c r="E15" s="231" t="s">
        <v>115</v>
      </c>
      <c r="F15" s="231" t="s">
        <v>117</v>
      </c>
      <c r="G15" s="231" t="s">
        <v>289</v>
      </c>
      <c r="H15" s="232" t="s">
        <v>545</v>
      </c>
      <c r="I15" s="226">
        <v>89000</v>
      </c>
      <c r="J15" s="226">
        <v>4450</v>
      </c>
      <c r="K15" s="226">
        <v>4450</v>
      </c>
      <c r="L15" s="226">
        <v>0</v>
      </c>
      <c r="M15" s="226">
        <v>0</v>
      </c>
      <c r="N15" s="233">
        <v>0</v>
      </c>
      <c r="O15" s="227">
        <f t="shared" si="1"/>
        <v>80100</v>
      </c>
    </row>
    <row r="16" spans="1:16" s="228" customFormat="1" ht="97.5" x14ac:dyDescent="0.2">
      <c r="A16" s="221">
        <v>6</v>
      </c>
      <c r="B16" s="254" t="s">
        <v>1310</v>
      </c>
      <c r="C16" s="249" t="s">
        <v>1311</v>
      </c>
      <c r="D16" s="230" t="s">
        <v>1312</v>
      </c>
      <c r="E16" s="231" t="s">
        <v>115</v>
      </c>
      <c r="F16" s="231" t="s">
        <v>117</v>
      </c>
      <c r="G16" s="231" t="s">
        <v>1313</v>
      </c>
      <c r="H16" s="232" t="s">
        <v>545</v>
      </c>
      <c r="I16" s="226">
        <v>628000</v>
      </c>
      <c r="J16" s="226">
        <v>31400</v>
      </c>
      <c r="K16" s="226">
        <v>31400</v>
      </c>
      <c r="L16" s="226">
        <v>0</v>
      </c>
      <c r="M16" s="226">
        <v>0</v>
      </c>
      <c r="N16" s="255"/>
      <c r="O16" s="227">
        <f t="shared" si="1"/>
        <v>565200</v>
      </c>
    </row>
    <row r="17" spans="1:15" s="228" customFormat="1" ht="97.5" x14ac:dyDescent="0.2">
      <c r="A17" s="221">
        <v>7</v>
      </c>
      <c r="B17" s="254" t="s">
        <v>1314</v>
      </c>
      <c r="C17" s="249" t="s">
        <v>1315</v>
      </c>
      <c r="D17" s="230" t="s">
        <v>1316</v>
      </c>
      <c r="E17" s="231" t="s">
        <v>115</v>
      </c>
      <c r="F17" s="231" t="s">
        <v>117</v>
      </c>
      <c r="G17" s="231" t="s">
        <v>575</v>
      </c>
      <c r="H17" s="232" t="s">
        <v>545</v>
      </c>
      <c r="I17" s="226">
        <v>341000</v>
      </c>
      <c r="J17" s="226">
        <v>17050</v>
      </c>
      <c r="K17" s="226">
        <v>17050</v>
      </c>
      <c r="L17" s="226">
        <v>0</v>
      </c>
      <c r="M17" s="226">
        <v>0</v>
      </c>
      <c r="N17" s="233">
        <v>0</v>
      </c>
      <c r="O17" s="227">
        <f t="shared" si="1"/>
        <v>306900</v>
      </c>
    </row>
    <row r="18" spans="1:15" s="228" customFormat="1" ht="117" x14ac:dyDescent="0.2">
      <c r="A18" s="221">
        <v>8</v>
      </c>
      <c r="B18" s="254" t="s">
        <v>1317</v>
      </c>
      <c r="C18" s="249" t="s">
        <v>1318</v>
      </c>
      <c r="D18" s="230" t="s">
        <v>1319</v>
      </c>
      <c r="E18" s="231" t="s">
        <v>605</v>
      </c>
      <c r="F18" s="231" t="s">
        <v>360</v>
      </c>
      <c r="G18" s="231" t="s">
        <v>606</v>
      </c>
      <c r="H18" s="232" t="s">
        <v>1320</v>
      </c>
      <c r="I18" s="226">
        <v>209000</v>
      </c>
      <c r="J18" s="226">
        <v>0</v>
      </c>
      <c r="K18" s="226">
        <v>0</v>
      </c>
      <c r="L18" s="226">
        <v>1382</v>
      </c>
      <c r="M18" s="226">
        <v>1382</v>
      </c>
      <c r="N18" s="233">
        <v>0</v>
      </c>
      <c r="O18" s="227">
        <f t="shared" si="1"/>
        <v>206236</v>
      </c>
    </row>
    <row r="19" spans="1:15" s="228" customFormat="1" ht="97.5" x14ac:dyDescent="0.2">
      <c r="A19" s="221">
        <v>9</v>
      </c>
      <c r="B19" s="254" t="s">
        <v>1321</v>
      </c>
      <c r="C19" s="249" t="s">
        <v>1322</v>
      </c>
      <c r="D19" s="230" t="s">
        <v>1323</v>
      </c>
      <c r="E19" s="231" t="s">
        <v>115</v>
      </c>
      <c r="F19" s="231" t="s">
        <v>117</v>
      </c>
      <c r="G19" s="231" t="s">
        <v>345</v>
      </c>
      <c r="H19" s="232" t="s">
        <v>545</v>
      </c>
      <c r="I19" s="226">
        <v>158000</v>
      </c>
      <c r="J19" s="226">
        <v>7900</v>
      </c>
      <c r="K19" s="226">
        <v>7900</v>
      </c>
      <c r="L19" s="226">
        <v>0</v>
      </c>
      <c r="M19" s="226">
        <v>0</v>
      </c>
      <c r="N19" s="233">
        <v>0</v>
      </c>
      <c r="O19" s="227">
        <f t="shared" si="1"/>
        <v>142200</v>
      </c>
    </row>
    <row r="20" spans="1:15" s="228" customFormat="1" ht="97.5" x14ac:dyDescent="0.2">
      <c r="A20" s="221">
        <v>10</v>
      </c>
      <c r="B20" s="254" t="s">
        <v>1321</v>
      </c>
      <c r="C20" s="249" t="s">
        <v>1324</v>
      </c>
      <c r="D20" s="230" t="s">
        <v>1325</v>
      </c>
      <c r="E20" s="231" t="s">
        <v>115</v>
      </c>
      <c r="F20" s="231" t="s">
        <v>117</v>
      </c>
      <c r="G20" s="231" t="s">
        <v>303</v>
      </c>
      <c r="H20" s="232" t="s">
        <v>946</v>
      </c>
      <c r="I20" s="226">
        <v>2250</v>
      </c>
      <c r="J20" s="226">
        <v>0</v>
      </c>
      <c r="K20" s="226">
        <v>0</v>
      </c>
      <c r="L20" s="226">
        <v>0</v>
      </c>
      <c r="M20" s="226">
        <v>0</v>
      </c>
      <c r="N20" s="145" t="s">
        <v>311</v>
      </c>
      <c r="O20" s="227">
        <f t="shared" si="1"/>
        <v>2250</v>
      </c>
    </row>
    <row r="21" spans="1:15" s="228" customFormat="1" ht="97.5" x14ac:dyDescent="0.2">
      <c r="A21" s="221">
        <v>11</v>
      </c>
      <c r="B21" s="254" t="s">
        <v>1321</v>
      </c>
      <c r="C21" s="249" t="s">
        <v>1326</v>
      </c>
      <c r="D21" s="230" t="s">
        <v>1327</v>
      </c>
      <c r="E21" s="231" t="s">
        <v>115</v>
      </c>
      <c r="F21" s="231" t="s">
        <v>117</v>
      </c>
      <c r="G21" s="231" t="s">
        <v>345</v>
      </c>
      <c r="H21" s="232" t="s">
        <v>545</v>
      </c>
      <c r="I21" s="226">
        <v>145000</v>
      </c>
      <c r="J21" s="226">
        <v>7250</v>
      </c>
      <c r="K21" s="226">
        <v>7250</v>
      </c>
      <c r="L21" s="226">
        <v>0</v>
      </c>
      <c r="M21" s="226">
        <v>0</v>
      </c>
      <c r="N21" s="233">
        <v>0</v>
      </c>
      <c r="O21" s="227">
        <f t="shared" si="1"/>
        <v>130500</v>
      </c>
    </row>
    <row r="22" spans="1:15" s="228" customFormat="1" ht="117" x14ac:dyDescent="0.2">
      <c r="A22" s="221">
        <v>12</v>
      </c>
      <c r="B22" s="254" t="s">
        <v>1321</v>
      </c>
      <c r="C22" s="230" t="s">
        <v>1328</v>
      </c>
      <c r="D22" s="230" t="s">
        <v>1329</v>
      </c>
      <c r="E22" s="231" t="s">
        <v>302</v>
      </c>
      <c r="F22" s="231" t="s">
        <v>117</v>
      </c>
      <c r="G22" s="231" t="s">
        <v>326</v>
      </c>
      <c r="H22" s="232" t="s">
        <v>1330</v>
      </c>
      <c r="I22" s="226">
        <v>60000</v>
      </c>
      <c r="J22" s="226">
        <v>3000</v>
      </c>
      <c r="K22" s="226">
        <v>3000</v>
      </c>
      <c r="L22" s="226">
        <v>0</v>
      </c>
      <c r="M22" s="226">
        <v>0</v>
      </c>
      <c r="N22" s="233">
        <v>0</v>
      </c>
      <c r="O22" s="227">
        <f t="shared" si="1"/>
        <v>54000</v>
      </c>
    </row>
    <row r="23" spans="1:15" s="228" customFormat="1" ht="232.5" x14ac:dyDescent="0.2">
      <c r="A23" s="221">
        <v>13</v>
      </c>
      <c r="B23" s="254" t="s">
        <v>1331</v>
      </c>
      <c r="C23" s="249" t="s">
        <v>1332</v>
      </c>
      <c r="D23" s="230" t="s">
        <v>1333</v>
      </c>
      <c r="E23" s="231" t="s">
        <v>1334</v>
      </c>
      <c r="F23" s="231" t="s">
        <v>1335</v>
      </c>
      <c r="G23" s="231" t="s">
        <v>361</v>
      </c>
      <c r="H23" s="232" t="s">
        <v>1336</v>
      </c>
      <c r="I23" s="226">
        <v>29000</v>
      </c>
      <c r="J23" s="226">
        <v>14500</v>
      </c>
      <c r="K23" s="226">
        <v>14500</v>
      </c>
      <c r="L23" s="226">
        <v>0</v>
      </c>
      <c r="M23" s="226">
        <v>0</v>
      </c>
      <c r="N23" s="233">
        <v>0</v>
      </c>
      <c r="O23" s="227">
        <f t="shared" si="1"/>
        <v>0</v>
      </c>
    </row>
    <row r="24" spans="1:15" s="228" customFormat="1" ht="97.5" x14ac:dyDescent="0.2">
      <c r="A24" s="221">
        <v>14</v>
      </c>
      <c r="B24" s="254" t="s">
        <v>1331</v>
      </c>
      <c r="C24" s="249" t="s">
        <v>1337</v>
      </c>
      <c r="D24" s="230" t="s">
        <v>1338</v>
      </c>
      <c r="E24" s="231" t="s">
        <v>115</v>
      </c>
      <c r="F24" s="231" t="s">
        <v>117</v>
      </c>
      <c r="G24" s="231" t="s">
        <v>322</v>
      </c>
      <c r="H24" s="232" t="s">
        <v>545</v>
      </c>
      <c r="I24" s="226">
        <v>377000</v>
      </c>
      <c r="J24" s="226">
        <v>18850</v>
      </c>
      <c r="K24" s="226">
        <v>18850</v>
      </c>
      <c r="L24" s="226">
        <v>0</v>
      </c>
      <c r="M24" s="226">
        <v>0</v>
      </c>
      <c r="N24" s="233">
        <v>0</v>
      </c>
      <c r="O24" s="227">
        <f t="shared" si="1"/>
        <v>339300</v>
      </c>
    </row>
    <row r="25" spans="1:15" s="228" customFormat="1" ht="135.75" x14ac:dyDescent="0.2">
      <c r="A25" s="221">
        <v>15</v>
      </c>
      <c r="B25" s="254" t="s">
        <v>1339</v>
      </c>
      <c r="C25" s="249" t="s">
        <v>1340</v>
      </c>
      <c r="D25" s="230" t="s">
        <v>1341</v>
      </c>
      <c r="E25" s="231" t="s">
        <v>1342</v>
      </c>
      <c r="F25" s="231" t="s">
        <v>161</v>
      </c>
      <c r="G25" s="231" t="s">
        <v>970</v>
      </c>
      <c r="H25" s="232" t="s">
        <v>1343</v>
      </c>
      <c r="I25" s="226">
        <v>79092</v>
      </c>
      <c r="J25" s="226">
        <v>3954.6</v>
      </c>
      <c r="K25" s="226">
        <v>3954.6</v>
      </c>
      <c r="L25" s="226">
        <v>0</v>
      </c>
      <c r="M25" s="226">
        <v>0</v>
      </c>
      <c r="N25" s="233">
        <v>0</v>
      </c>
      <c r="O25" s="227">
        <f t="shared" si="1"/>
        <v>71182.8</v>
      </c>
    </row>
    <row r="26" spans="1:15" s="228" customFormat="1" ht="97.5" x14ac:dyDescent="0.2">
      <c r="A26" s="221">
        <v>16</v>
      </c>
      <c r="B26" s="254" t="s">
        <v>1344</v>
      </c>
      <c r="C26" s="249" t="s">
        <v>1345</v>
      </c>
      <c r="D26" s="230" t="s">
        <v>1346</v>
      </c>
      <c r="E26" s="231" t="s">
        <v>115</v>
      </c>
      <c r="F26" s="231" t="s">
        <v>117</v>
      </c>
      <c r="G26" s="231" t="s">
        <v>303</v>
      </c>
      <c r="H26" s="232" t="s">
        <v>946</v>
      </c>
      <c r="I26" s="226">
        <v>1850</v>
      </c>
      <c r="J26" s="226"/>
      <c r="K26" s="226"/>
      <c r="L26" s="226"/>
      <c r="M26" s="226"/>
      <c r="N26" s="145" t="s">
        <v>311</v>
      </c>
      <c r="O26" s="227">
        <f t="shared" si="1"/>
        <v>1850</v>
      </c>
    </row>
    <row r="27" spans="1:15" s="228" customFormat="1" ht="97.5" x14ac:dyDescent="0.2">
      <c r="A27" s="221">
        <v>17</v>
      </c>
      <c r="B27" s="254" t="s">
        <v>1344</v>
      </c>
      <c r="C27" s="249" t="s">
        <v>1347</v>
      </c>
      <c r="D27" s="230" t="s">
        <v>1348</v>
      </c>
      <c r="E27" s="231" t="s">
        <v>115</v>
      </c>
      <c r="F27" s="231" t="s">
        <v>117</v>
      </c>
      <c r="G27" s="231" t="s">
        <v>558</v>
      </c>
      <c r="H27" s="232" t="s">
        <v>545</v>
      </c>
      <c r="I27" s="226">
        <v>333000</v>
      </c>
      <c r="J27" s="226">
        <v>16650</v>
      </c>
      <c r="K27" s="226">
        <v>16650</v>
      </c>
      <c r="L27" s="226"/>
      <c r="M27" s="226"/>
      <c r="N27" s="233"/>
      <c r="O27" s="227">
        <f t="shared" si="1"/>
        <v>299700</v>
      </c>
    </row>
    <row r="28" spans="1:15" s="228" customFormat="1" ht="97.5" x14ac:dyDescent="0.2">
      <c r="A28" s="221">
        <v>18</v>
      </c>
      <c r="B28" s="254" t="s">
        <v>1349</v>
      </c>
      <c r="C28" s="249" t="s">
        <v>1350</v>
      </c>
      <c r="D28" s="230" t="s">
        <v>1351</v>
      </c>
      <c r="E28" s="231" t="s">
        <v>115</v>
      </c>
      <c r="F28" s="231" t="s">
        <v>117</v>
      </c>
      <c r="G28" s="231" t="s">
        <v>303</v>
      </c>
      <c r="H28" s="232" t="s">
        <v>545</v>
      </c>
      <c r="I28" s="226">
        <v>29000</v>
      </c>
      <c r="J28" s="226">
        <v>1450</v>
      </c>
      <c r="K28" s="226">
        <v>1450</v>
      </c>
      <c r="L28" s="226"/>
      <c r="M28" s="226"/>
      <c r="N28" s="233"/>
      <c r="O28" s="227">
        <f t="shared" si="1"/>
        <v>26100</v>
      </c>
    </row>
    <row r="29" spans="1:15" s="228" customFormat="1" ht="136.5" x14ac:dyDescent="0.2">
      <c r="A29" s="221">
        <v>19</v>
      </c>
      <c r="B29" s="254" t="s">
        <v>1352</v>
      </c>
      <c r="C29" s="249" t="s">
        <v>1353</v>
      </c>
      <c r="D29" s="230" t="s">
        <v>1354</v>
      </c>
      <c r="E29" s="231" t="s">
        <v>199</v>
      </c>
      <c r="F29" s="231" t="s">
        <v>19</v>
      </c>
      <c r="G29" s="231" t="s">
        <v>1355</v>
      </c>
      <c r="H29" s="232" t="s">
        <v>1356</v>
      </c>
      <c r="I29" s="226">
        <v>240000</v>
      </c>
      <c r="J29" s="226">
        <v>12000</v>
      </c>
      <c r="K29" s="226">
        <v>12000</v>
      </c>
      <c r="L29" s="226"/>
      <c r="M29" s="226"/>
      <c r="N29" s="233"/>
      <c r="O29" s="227">
        <f t="shared" si="1"/>
        <v>216000</v>
      </c>
    </row>
    <row r="30" spans="1:15" s="228" customFormat="1" ht="97.5" x14ac:dyDescent="0.2">
      <c r="A30" s="221">
        <v>20</v>
      </c>
      <c r="B30" s="254" t="s">
        <v>1357</v>
      </c>
      <c r="C30" s="249" t="s">
        <v>1358</v>
      </c>
      <c r="D30" s="230" t="s">
        <v>1359</v>
      </c>
      <c r="E30" s="231" t="s">
        <v>115</v>
      </c>
      <c r="F30" s="231" t="s">
        <v>117</v>
      </c>
      <c r="G30" s="231" t="s">
        <v>318</v>
      </c>
      <c r="H30" s="232" t="s">
        <v>946</v>
      </c>
      <c r="I30" s="226">
        <v>1250</v>
      </c>
      <c r="J30" s="226"/>
      <c r="K30" s="226"/>
      <c r="L30" s="226"/>
      <c r="M30" s="226"/>
      <c r="N30" s="145" t="s">
        <v>311</v>
      </c>
      <c r="O30" s="227">
        <f t="shared" si="1"/>
        <v>1250</v>
      </c>
    </row>
    <row r="31" spans="1:15" s="228" customFormat="1" ht="136.5" x14ac:dyDescent="0.2">
      <c r="A31" s="221">
        <v>21</v>
      </c>
      <c r="B31" s="254" t="s">
        <v>1360</v>
      </c>
      <c r="C31" s="249" t="s">
        <v>1361</v>
      </c>
      <c r="D31" s="230" t="s">
        <v>1362</v>
      </c>
      <c r="E31" s="231" t="s">
        <v>605</v>
      </c>
      <c r="F31" s="231" t="s">
        <v>360</v>
      </c>
      <c r="G31" s="231" t="s">
        <v>636</v>
      </c>
      <c r="H31" s="232" t="s">
        <v>1363</v>
      </c>
      <c r="I31" s="226">
        <v>54000</v>
      </c>
      <c r="J31" s="226">
        <v>2700</v>
      </c>
      <c r="K31" s="226">
        <v>2700</v>
      </c>
      <c r="L31" s="226">
        <v>0</v>
      </c>
      <c r="M31" s="226">
        <v>0</v>
      </c>
      <c r="N31" s="226">
        <v>0</v>
      </c>
      <c r="O31" s="227">
        <f t="shared" si="1"/>
        <v>48600</v>
      </c>
    </row>
    <row r="32" spans="1:15" s="228" customFormat="1" ht="136.5" x14ac:dyDescent="0.2">
      <c r="A32" s="221">
        <v>22</v>
      </c>
      <c r="B32" s="254" t="s">
        <v>1360</v>
      </c>
      <c r="C32" s="249" t="s">
        <v>1364</v>
      </c>
      <c r="D32" s="230" t="s">
        <v>1362</v>
      </c>
      <c r="E32" s="231" t="s">
        <v>605</v>
      </c>
      <c r="F32" s="231" t="s">
        <v>360</v>
      </c>
      <c r="G32" s="231" t="s">
        <v>636</v>
      </c>
      <c r="H32" s="232" t="s">
        <v>1365</v>
      </c>
      <c r="I32" s="226">
        <v>90000</v>
      </c>
      <c r="J32" s="226">
        <v>4500</v>
      </c>
      <c r="K32" s="226">
        <v>4500</v>
      </c>
      <c r="L32" s="226">
        <v>0</v>
      </c>
      <c r="M32" s="226">
        <v>0</v>
      </c>
      <c r="N32" s="226">
        <v>0</v>
      </c>
      <c r="O32" s="227">
        <f t="shared" si="1"/>
        <v>81000</v>
      </c>
    </row>
    <row r="33" spans="1:15" s="228" customFormat="1" ht="97.5" x14ac:dyDescent="0.2">
      <c r="A33" s="221">
        <v>23</v>
      </c>
      <c r="B33" s="254" t="s">
        <v>1366</v>
      </c>
      <c r="C33" s="249" t="s">
        <v>1367</v>
      </c>
      <c r="D33" s="230" t="s">
        <v>1368</v>
      </c>
      <c r="E33" s="231" t="s">
        <v>115</v>
      </c>
      <c r="F33" s="231" t="s">
        <v>117</v>
      </c>
      <c r="G33" s="231" t="s">
        <v>441</v>
      </c>
      <c r="H33" s="232" t="s">
        <v>901</v>
      </c>
      <c r="I33" s="226">
        <v>64000</v>
      </c>
      <c r="J33" s="226">
        <v>3200</v>
      </c>
      <c r="K33" s="226">
        <v>3200</v>
      </c>
      <c r="L33" s="226">
        <v>0</v>
      </c>
      <c r="M33" s="226">
        <v>0</v>
      </c>
      <c r="N33" s="226">
        <v>0</v>
      </c>
      <c r="O33" s="227">
        <f t="shared" si="1"/>
        <v>57600</v>
      </c>
    </row>
    <row r="34" spans="1:15" s="228" customFormat="1" ht="97.5" x14ac:dyDescent="0.2">
      <c r="A34" s="221">
        <v>24</v>
      </c>
      <c r="B34" s="254">
        <v>242166</v>
      </c>
      <c r="C34" s="249" t="s">
        <v>1369</v>
      </c>
      <c r="D34" s="230" t="s">
        <v>1370</v>
      </c>
      <c r="E34" s="231" t="s">
        <v>115</v>
      </c>
      <c r="F34" s="231" t="s">
        <v>117</v>
      </c>
      <c r="G34" s="231" t="s">
        <v>318</v>
      </c>
      <c r="H34" s="232" t="s">
        <v>901</v>
      </c>
      <c r="I34" s="226">
        <v>25000</v>
      </c>
      <c r="J34" s="226">
        <v>1250</v>
      </c>
      <c r="K34" s="226">
        <v>1250</v>
      </c>
      <c r="L34" s="226">
        <v>0</v>
      </c>
      <c r="M34" s="226">
        <v>0</v>
      </c>
      <c r="N34" s="226">
        <v>0</v>
      </c>
      <c r="O34" s="227">
        <f t="shared" si="1"/>
        <v>22500</v>
      </c>
    </row>
    <row r="35" spans="1:15" s="228" customFormat="1" ht="116.25" x14ac:dyDescent="0.2">
      <c r="A35" s="221">
        <v>25</v>
      </c>
      <c r="B35" s="254" t="s">
        <v>1371</v>
      </c>
      <c r="C35" s="249" t="s">
        <v>1372</v>
      </c>
      <c r="D35" s="230" t="s">
        <v>1373</v>
      </c>
      <c r="E35" s="231" t="s">
        <v>1018</v>
      </c>
      <c r="F35" s="231" t="s">
        <v>161</v>
      </c>
      <c r="G35" s="231" t="s">
        <v>1019</v>
      </c>
      <c r="H35" s="232" t="s">
        <v>1374</v>
      </c>
      <c r="I35" s="226">
        <v>353760</v>
      </c>
      <c r="J35" s="226">
        <v>17688</v>
      </c>
      <c r="K35" s="226">
        <v>17688</v>
      </c>
      <c r="L35" s="226">
        <v>0</v>
      </c>
      <c r="M35" s="226">
        <v>0</v>
      </c>
      <c r="N35" s="226">
        <v>0</v>
      </c>
      <c r="O35" s="227">
        <f t="shared" si="1"/>
        <v>318384</v>
      </c>
    </row>
    <row r="36" spans="1:15" s="228" customFormat="1" ht="135.75" x14ac:dyDescent="0.2">
      <c r="A36" s="221">
        <v>26</v>
      </c>
      <c r="B36" s="254" t="s">
        <v>1371</v>
      </c>
      <c r="C36" s="249" t="s">
        <v>1375</v>
      </c>
      <c r="D36" s="230" t="s">
        <v>1376</v>
      </c>
      <c r="E36" s="231" t="s">
        <v>1018</v>
      </c>
      <c r="F36" s="231" t="s">
        <v>161</v>
      </c>
      <c r="G36" s="231" t="s">
        <v>1377</v>
      </c>
      <c r="H36" s="232" t="s">
        <v>1378</v>
      </c>
      <c r="I36" s="226">
        <v>52360</v>
      </c>
      <c r="J36" s="226">
        <v>2618</v>
      </c>
      <c r="K36" s="226">
        <v>2618</v>
      </c>
      <c r="L36" s="226">
        <v>0</v>
      </c>
      <c r="M36" s="226">
        <v>0</v>
      </c>
      <c r="N36" s="226">
        <v>0</v>
      </c>
      <c r="O36" s="227">
        <f t="shared" si="1"/>
        <v>47124</v>
      </c>
    </row>
    <row r="37" spans="1:15" s="228" customFormat="1" ht="96.75" x14ac:dyDescent="0.2">
      <c r="A37" s="221">
        <v>27</v>
      </c>
      <c r="B37" s="254" t="s">
        <v>1379</v>
      </c>
      <c r="C37" s="249" t="s">
        <v>1380</v>
      </c>
      <c r="D37" s="230" t="s">
        <v>1381</v>
      </c>
      <c r="E37" s="231" t="s">
        <v>1382</v>
      </c>
      <c r="F37" s="231" t="s">
        <v>117</v>
      </c>
      <c r="G37" s="231" t="s">
        <v>1383</v>
      </c>
      <c r="H37" s="232" t="s">
        <v>1384</v>
      </c>
      <c r="I37" s="226">
        <v>15000</v>
      </c>
      <c r="J37" s="226">
        <v>750</v>
      </c>
      <c r="K37" s="226">
        <v>750</v>
      </c>
      <c r="L37" s="226">
        <v>0</v>
      </c>
      <c r="M37" s="226">
        <v>0</v>
      </c>
      <c r="N37" s="226">
        <v>0</v>
      </c>
      <c r="O37" s="227">
        <f t="shared" si="1"/>
        <v>13500</v>
      </c>
    </row>
    <row r="38" spans="1:15" s="228" customFormat="1" ht="97.5" x14ac:dyDescent="0.2">
      <c r="A38" s="221">
        <v>28</v>
      </c>
      <c r="B38" s="254" t="s">
        <v>1385</v>
      </c>
      <c r="C38" s="249" t="s">
        <v>1386</v>
      </c>
      <c r="D38" s="230" t="s">
        <v>1387</v>
      </c>
      <c r="E38" s="231" t="s">
        <v>115</v>
      </c>
      <c r="F38" s="231" t="s">
        <v>117</v>
      </c>
      <c r="G38" s="231" t="s">
        <v>318</v>
      </c>
      <c r="H38" s="232" t="s">
        <v>901</v>
      </c>
      <c r="I38" s="226">
        <v>30000</v>
      </c>
      <c r="J38" s="226">
        <v>1500</v>
      </c>
      <c r="K38" s="226">
        <v>1500</v>
      </c>
      <c r="L38" s="226">
        <v>0</v>
      </c>
      <c r="M38" s="226">
        <v>0</v>
      </c>
      <c r="N38" s="226">
        <v>0</v>
      </c>
      <c r="O38" s="227">
        <f t="shared" si="1"/>
        <v>27000</v>
      </c>
    </row>
    <row r="39" spans="1:15" s="228" customFormat="1" ht="117" x14ac:dyDescent="0.2">
      <c r="A39" s="221">
        <v>29</v>
      </c>
      <c r="B39" s="254" t="s">
        <v>1388</v>
      </c>
      <c r="C39" s="249" t="s">
        <v>1389</v>
      </c>
      <c r="D39" s="230" t="s">
        <v>1390</v>
      </c>
      <c r="E39" s="231" t="s">
        <v>302</v>
      </c>
      <c r="F39" s="231" t="s">
        <v>117</v>
      </c>
      <c r="G39" s="231" t="s">
        <v>318</v>
      </c>
      <c r="H39" s="232" t="s">
        <v>1391</v>
      </c>
      <c r="I39" s="226">
        <v>20000</v>
      </c>
      <c r="J39" s="226">
        <v>1000</v>
      </c>
      <c r="K39" s="226">
        <v>1000</v>
      </c>
      <c r="L39" s="226">
        <v>0</v>
      </c>
      <c r="M39" s="226">
        <v>0</v>
      </c>
      <c r="N39" s="226">
        <v>0</v>
      </c>
      <c r="O39" s="227">
        <f t="shared" si="1"/>
        <v>18000</v>
      </c>
    </row>
    <row r="40" spans="1:15" s="228" customFormat="1" ht="78" x14ac:dyDescent="0.2">
      <c r="A40" s="221">
        <v>30</v>
      </c>
      <c r="B40" s="254" t="s">
        <v>1392</v>
      </c>
      <c r="C40" s="249" t="s">
        <v>1393</v>
      </c>
      <c r="D40" s="230" t="s">
        <v>1394</v>
      </c>
      <c r="E40" s="231" t="s">
        <v>897</v>
      </c>
      <c r="F40" s="231" t="s">
        <v>117</v>
      </c>
      <c r="G40" s="231" t="s">
        <v>898</v>
      </c>
      <c r="H40" s="232" t="s">
        <v>1395</v>
      </c>
      <c r="I40" s="226">
        <v>326700</v>
      </c>
      <c r="J40" s="226">
        <v>16335</v>
      </c>
      <c r="K40" s="226">
        <v>16335</v>
      </c>
      <c r="L40" s="226">
        <v>0</v>
      </c>
      <c r="M40" s="226">
        <v>0</v>
      </c>
      <c r="N40" s="226">
        <v>0</v>
      </c>
      <c r="O40" s="227">
        <f t="shared" si="1"/>
        <v>294030</v>
      </c>
    </row>
    <row r="41" spans="1:15" s="228" customFormat="1" ht="116.25" x14ac:dyDescent="0.2">
      <c r="A41" s="221">
        <v>31</v>
      </c>
      <c r="B41" s="254" t="s">
        <v>1396</v>
      </c>
      <c r="C41" s="230" t="s">
        <v>1397</v>
      </c>
      <c r="D41" s="230" t="s">
        <v>1398</v>
      </c>
      <c r="E41" s="231" t="s">
        <v>595</v>
      </c>
      <c r="F41" s="231" t="s">
        <v>161</v>
      </c>
      <c r="G41" s="231" t="s">
        <v>1399</v>
      </c>
      <c r="H41" s="232" t="s">
        <v>1400</v>
      </c>
      <c r="I41" s="226">
        <v>150000</v>
      </c>
      <c r="J41" s="226">
        <v>7500</v>
      </c>
      <c r="K41" s="226">
        <v>7500</v>
      </c>
      <c r="L41" s="226">
        <v>0</v>
      </c>
      <c r="M41" s="226">
        <v>0</v>
      </c>
      <c r="N41" s="226">
        <v>0</v>
      </c>
      <c r="O41" s="227">
        <f t="shared" si="1"/>
        <v>135000</v>
      </c>
    </row>
    <row r="42" spans="1:15" s="228" customFormat="1" ht="135.75" x14ac:dyDescent="0.2">
      <c r="A42" s="221">
        <v>32</v>
      </c>
      <c r="B42" s="254" t="s">
        <v>1401</v>
      </c>
      <c r="C42" s="230" t="s">
        <v>1402</v>
      </c>
      <c r="D42" s="230" t="s">
        <v>1403</v>
      </c>
      <c r="E42" s="231" t="s">
        <v>199</v>
      </c>
      <c r="F42" s="231" t="s">
        <v>19</v>
      </c>
      <c r="G42" s="231" t="s">
        <v>1355</v>
      </c>
      <c r="H42" s="232" t="s">
        <v>1404</v>
      </c>
      <c r="I42" s="226">
        <v>60000</v>
      </c>
      <c r="J42" s="226">
        <v>3000</v>
      </c>
      <c r="K42" s="226">
        <v>3000</v>
      </c>
      <c r="L42" s="226">
        <v>0</v>
      </c>
      <c r="M42" s="226">
        <v>0</v>
      </c>
      <c r="N42" s="226">
        <v>0</v>
      </c>
      <c r="O42" s="227">
        <f t="shared" si="1"/>
        <v>54000</v>
      </c>
    </row>
    <row r="43" spans="1:15" s="228" customFormat="1" ht="96.75" x14ac:dyDescent="0.2">
      <c r="A43" s="221">
        <v>33</v>
      </c>
      <c r="B43" s="254" t="s">
        <v>1405</v>
      </c>
      <c r="C43" s="230" t="s">
        <v>1406</v>
      </c>
      <c r="D43" s="230" t="s">
        <v>1407</v>
      </c>
      <c r="E43" s="231" t="s">
        <v>605</v>
      </c>
      <c r="F43" s="231" t="s">
        <v>360</v>
      </c>
      <c r="G43" s="231" t="s">
        <v>606</v>
      </c>
      <c r="H43" s="232" t="s">
        <v>1408</v>
      </c>
      <c r="I43" s="226">
        <v>55000</v>
      </c>
      <c r="J43" s="226">
        <v>0</v>
      </c>
      <c r="K43" s="226">
        <v>0</v>
      </c>
      <c r="L43" s="226">
        <f>0.64/2</f>
        <v>0.32</v>
      </c>
      <c r="M43" s="226">
        <f>0.64/2</f>
        <v>0.32</v>
      </c>
      <c r="N43" s="226">
        <v>0</v>
      </c>
      <c r="O43" s="227">
        <f t="shared" si="1"/>
        <v>54999.360000000001</v>
      </c>
    </row>
    <row r="44" spans="1:15" s="228" customFormat="1" ht="252.75" x14ac:dyDescent="0.2">
      <c r="A44" s="221">
        <v>34</v>
      </c>
      <c r="B44" s="254" t="s">
        <v>1409</v>
      </c>
      <c r="C44" s="230" t="s">
        <v>1410</v>
      </c>
      <c r="D44" s="230" t="s">
        <v>1411</v>
      </c>
      <c r="E44" s="231" t="s">
        <v>199</v>
      </c>
      <c r="F44" s="231" t="s">
        <v>19</v>
      </c>
      <c r="G44" s="231" t="s">
        <v>1412</v>
      </c>
      <c r="H44" s="232" t="s">
        <v>1413</v>
      </c>
      <c r="I44" s="226">
        <v>250000</v>
      </c>
      <c r="J44" s="226">
        <v>12500</v>
      </c>
      <c r="K44" s="226">
        <v>12500</v>
      </c>
      <c r="L44" s="226">
        <v>0</v>
      </c>
      <c r="M44" s="226">
        <v>0</v>
      </c>
      <c r="N44" s="226">
        <v>0</v>
      </c>
      <c r="O44" s="227">
        <f t="shared" si="1"/>
        <v>225000</v>
      </c>
    </row>
    <row r="45" spans="1:15" s="228" customFormat="1" ht="78" x14ac:dyDescent="0.2">
      <c r="A45" s="221">
        <v>35</v>
      </c>
      <c r="B45" s="254" t="s">
        <v>1414</v>
      </c>
      <c r="C45" s="230" t="s">
        <v>1415</v>
      </c>
      <c r="D45" s="230" t="s">
        <v>1416</v>
      </c>
      <c r="E45" s="231" t="s">
        <v>1417</v>
      </c>
      <c r="F45" s="231" t="s">
        <v>117</v>
      </c>
      <c r="G45" s="231" t="s">
        <v>1103</v>
      </c>
      <c r="H45" s="232" t="s">
        <v>1418</v>
      </c>
      <c r="I45" s="226">
        <v>55112</v>
      </c>
      <c r="J45" s="226">
        <v>0</v>
      </c>
      <c r="K45" s="226">
        <v>0</v>
      </c>
      <c r="L45" s="226">
        <v>27556</v>
      </c>
      <c r="M45" s="226">
        <v>27556</v>
      </c>
      <c r="N45" s="226">
        <v>0</v>
      </c>
      <c r="O45" s="227">
        <f t="shared" ref="O45:O58" si="3">+I45-(SUM(J45:N45))</f>
        <v>0</v>
      </c>
    </row>
    <row r="46" spans="1:15" s="228" customFormat="1" ht="155.25" x14ac:dyDescent="0.2">
      <c r="A46" s="221">
        <v>36</v>
      </c>
      <c r="B46" s="254" t="s">
        <v>1419</v>
      </c>
      <c r="C46" s="230" t="s">
        <v>1420</v>
      </c>
      <c r="D46" s="230" t="s">
        <v>1421</v>
      </c>
      <c r="E46" s="231" t="s">
        <v>1422</v>
      </c>
      <c r="F46" s="231" t="s">
        <v>117</v>
      </c>
      <c r="G46" s="231" t="s">
        <v>1423</v>
      </c>
      <c r="H46" s="232" t="s">
        <v>1424</v>
      </c>
      <c r="I46" s="226">
        <v>10000</v>
      </c>
      <c r="J46" s="226">
        <v>5000</v>
      </c>
      <c r="K46" s="226">
        <v>5000</v>
      </c>
      <c r="L46" s="226">
        <v>0</v>
      </c>
      <c r="M46" s="226">
        <v>0</v>
      </c>
      <c r="N46" s="226">
        <v>0</v>
      </c>
      <c r="O46" s="227">
        <f t="shared" si="3"/>
        <v>0</v>
      </c>
    </row>
    <row r="47" spans="1:15" s="228" customFormat="1" ht="234" x14ac:dyDescent="0.2">
      <c r="A47" s="221">
        <v>37</v>
      </c>
      <c r="B47" s="254" t="s">
        <v>1425</v>
      </c>
      <c r="C47" s="230" t="s">
        <v>1426</v>
      </c>
      <c r="D47" s="230" t="s">
        <v>1427</v>
      </c>
      <c r="E47" s="231" t="s">
        <v>199</v>
      </c>
      <c r="F47" s="231" t="s">
        <v>19</v>
      </c>
      <c r="G47" s="231" t="s">
        <v>1412</v>
      </c>
      <c r="H47" s="232" t="s">
        <v>1428</v>
      </c>
      <c r="I47" s="226">
        <v>300000</v>
      </c>
      <c r="J47" s="226">
        <v>15000</v>
      </c>
      <c r="K47" s="226">
        <v>15000</v>
      </c>
      <c r="L47" s="226">
        <v>0</v>
      </c>
      <c r="M47" s="226">
        <v>0</v>
      </c>
      <c r="N47" s="226">
        <v>0</v>
      </c>
      <c r="O47" s="227">
        <f t="shared" si="3"/>
        <v>270000</v>
      </c>
    </row>
    <row r="48" spans="1:15" s="228" customFormat="1" ht="97.5" x14ac:dyDescent="0.2">
      <c r="A48" s="221">
        <v>38</v>
      </c>
      <c r="B48" s="254" t="s">
        <v>1429</v>
      </c>
      <c r="C48" s="230" t="s">
        <v>1430</v>
      </c>
      <c r="D48" s="230" t="s">
        <v>1431</v>
      </c>
      <c r="E48" s="231" t="s">
        <v>335</v>
      </c>
      <c r="F48" s="231" t="s">
        <v>19</v>
      </c>
      <c r="G48" s="231" t="s">
        <v>1432</v>
      </c>
      <c r="H48" s="232" t="s">
        <v>1433</v>
      </c>
      <c r="I48" s="226">
        <v>124812</v>
      </c>
      <c r="J48" s="226">
        <f>124812/2</f>
        <v>62406</v>
      </c>
      <c r="K48" s="226">
        <v>62406</v>
      </c>
      <c r="L48" s="226"/>
      <c r="M48" s="226"/>
      <c r="N48" s="226"/>
      <c r="O48" s="227">
        <f t="shared" si="3"/>
        <v>0</v>
      </c>
    </row>
    <row r="49" spans="1:15" s="228" customFormat="1" ht="97.5" x14ac:dyDescent="0.2">
      <c r="A49" s="221">
        <v>39</v>
      </c>
      <c r="B49" s="254" t="s">
        <v>1434</v>
      </c>
      <c r="C49" s="230" t="s">
        <v>1435</v>
      </c>
      <c r="D49" s="230" t="s">
        <v>1436</v>
      </c>
      <c r="E49" s="231" t="s">
        <v>115</v>
      </c>
      <c r="F49" s="231" t="s">
        <v>117</v>
      </c>
      <c r="G49" s="231" t="s">
        <v>289</v>
      </c>
      <c r="H49" s="232" t="s">
        <v>901</v>
      </c>
      <c r="I49" s="226">
        <v>94000</v>
      </c>
      <c r="J49" s="226">
        <v>4700</v>
      </c>
      <c r="K49" s="226">
        <v>4700</v>
      </c>
      <c r="L49" s="226"/>
      <c r="M49" s="226"/>
      <c r="N49" s="226"/>
      <c r="O49" s="227">
        <f t="shared" si="3"/>
        <v>84600</v>
      </c>
    </row>
    <row r="50" spans="1:15" s="228" customFormat="1" ht="97.5" x14ac:dyDescent="0.2">
      <c r="A50" s="221">
        <v>40</v>
      </c>
      <c r="B50" s="254" t="s">
        <v>1437</v>
      </c>
      <c r="C50" s="230" t="s">
        <v>1438</v>
      </c>
      <c r="D50" s="230" t="s">
        <v>1439</v>
      </c>
      <c r="E50" s="231" t="s">
        <v>115</v>
      </c>
      <c r="F50" s="231" t="s">
        <v>117</v>
      </c>
      <c r="G50" s="231" t="s">
        <v>318</v>
      </c>
      <c r="H50" s="232" t="s">
        <v>901</v>
      </c>
      <c r="I50" s="226">
        <v>25000</v>
      </c>
      <c r="J50" s="226">
        <v>1250</v>
      </c>
      <c r="K50" s="226">
        <v>1250</v>
      </c>
      <c r="L50" s="226"/>
      <c r="M50" s="226"/>
      <c r="N50" s="226"/>
      <c r="O50" s="227">
        <f t="shared" si="3"/>
        <v>22500</v>
      </c>
    </row>
    <row r="51" spans="1:15" s="228" customFormat="1" ht="97.5" x14ac:dyDescent="0.2">
      <c r="A51" s="221">
        <v>41</v>
      </c>
      <c r="B51" s="254" t="s">
        <v>1440</v>
      </c>
      <c r="C51" s="230" t="s">
        <v>1441</v>
      </c>
      <c r="D51" s="230" t="s">
        <v>1442</v>
      </c>
      <c r="E51" s="231" t="s">
        <v>115</v>
      </c>
      <c r="F51" s="231" t="s">
        <v>117</v>
      </c>
      <c r="G51" s="231" t="s">
        <v>315</v>
      </c>
      <c r="H51" s="232" t="s">
        <v>901</v>
      </c>
      <c r="I51" s="226">
        <v>225000</v>
      </c>
      <c r="J51" s="226">
        <v>11250</v>
      </c>
      <c r="K51" s="226">
        <v>11250</v>
      </c>
      <c r="L51" s="226"/>
      <c r="M51" s="226"/>
      <c r="N51" s="226"/>
      <c r="O51" s="227">
        <f t="shared" si="3"/>
        <v>202500</v>
      </c>
    </row>
    <row r="52" spans="1:15" s="228" customFormat="1" ht="117" x14ac:dyDescent="0.2">
      <c r="A52" s="221">
        <v>42</v>
      </c>
      <c r="B52" s="254" t="s">
        <v>1440</v>
      </c>
      <c r="C52" s="230" t="s">
        <v>1443</v>
      </c>
      <c r="D52" s="230" t="s">
        <v>1444</v>
      </c>
      <c r="E52" s="231" t="s">
        <v>963</v>
      </c>
      <c r="F52" s="231" t="s">
        <v>19</v>
      </c>
      <c r="G52" s="231" t="s">
        <v>964</v>
      </c>
      <c r="H52" s="232" t="s">
        <v>1445</v>
      </c>
      <c r="I52" s="226">
        <v>380000</v>
      </c>
      <c r="J52" s="226">
        <v>19000</v>
      </c>
      <c r="K52" s="226">
        <v>19000</v>
      </c>
      <c r="L52" s="226"/>
      <c r="M52" s="226"/>
      <c r="N52" s="226"/>
      <c r="O52" s="227">
        <f t="shared" si="3"/>
        <v>342000</v>
      </c>
    </row>
    <row r="53" spans="1:15" s="228" customFormat="1" ht="97.5" x14ac:dyDescent="0.2">
      <c r="A53" s="221">
        <v>43</v>
      </c>
      <c r="B53" s="254" t="s">
        <v>1446</v>
      </c>
      <c r="C53" s="230" t="s">
        <v>1447</v>
      </c>
      <c r="D53" s="230" t="s">
        <v>1448</v>
      </c>
      <c r="E53" s="231" t="s">
        <v>115</v>
      </c>
      <c r="F53" s="231" t="s">
        <v>117</v>
      </c>
      <c r="G53" s="231" t="s">
        <v>322</v>
      </c>
      <c r="H53" s="232" t="s">
        <v>901</v>
      </c>
      <c r="I53" s="226">
        <v>355000</v>
      </c>
      <c r="J53" s="226">
        <v>17750</v>
      </c>
      <c r="K53" s="226">
        <v>17750</v>
      </c>
      <c r="L53" s="226"/>
      <c r="M53" s="226"/>
      <c r="N53" s="226"/>
      <c r="O53" s="227">
        <f t="shared" si="3"/>
        <v>319500</v>
      </c>
    </row>
    <row r="54" spans="1:15" s="228" customFormat="1" ht="117" x14ac:dyDescent="0.2">
      <c r="A54" s="221">
        <v>44</v>
      </c>
      <c r="B54" s="254" t="s">
        <v>1446</v>
      </c>
      <c r="C54" s="230" t="s">
        <v>1449</v>
      </c>
      <c r="D54" s="230" t="s">
        <v>1450</v>
      </c>
      <c r="E54" s="231" t="s">
        <v>302</v>
      </c>
      <c r="F54" s="231" t="s">
        <v>117</v>
      </c>
      <c r="G54" s="231" t="s">
        <v>318</v>
      </c>
      <c r="H54" s="232" t="s">
        <v>1451</v>
      </c>
      <c r="I54" s="226">
        <v>25000</v>
      </c>
      <c r="J54" s="226">
        <v>1250</v>
      </c>
      <c r="K54" s="226">
        <v>1250</v>
      </c>
      <c r="L54" s="226"/>
      <c r="M54" s="226"/>
      <c r="N54" s="226"/>
      <c r="O54" s="227">
        <f t="shared" si="3"/>
        <v>22500</v>
      </c>
    </row>
    <row r="55" spans="1:15" s="228" customFormat="1" ht="97.5" x14ac:dyDescent="0.2">
      <c r="A55" s="221">
        <v>45</v>
      </c>
      <c r="B55" s="254">
        <v>242430</v>
      </c>
      <c r="C55" s="230" t="s">
        <v>1452</v>
      </c>
      <c r="D55" s="230" t="s">
        <v>1453</v>
      </c>
      <c r="E55" s="231" t="s">
        <v>115</v>
      </c>
      <c r="F55" s="231" t="s">
        <v>117</v>
      </c>
      <c r="G55" s="231" t="s">
        <v>318</v>
      </c>
      <c r="H55" s="232" t="s">
        <v>901</v>
      </c>
      <c r="I55" s="226">
        <v>25000</v>
      </c>
      <c r="J55" s="226">
        <v>1250</v>
      </c>
      <c r="K55" s="226">
        <v>1250</v>
      </c>
      <c r="L55" s="226"/>
      <c r="M55" s="226"/>
      <c r="N55" s="226"/>
      <c r="O55" s="227">
        <f t="shared" si="3"/>
        <v>22500</v>
      </c>
    </row>
    <row r="56" spans="1:15" s="228" customFormat="1" ht="97.5" x14ac:dyDescent="0.2">
      <c r="A56" s="221">
        <v>46</v>
      </c>
      <c r="B56" s="254">
        <v>242430</v>
      </c>
      <c r="C56" s="230" t="s">
        <v>1454</v>
      </c>
      <c r="D56" s="230" t="s">
        <v>1455</v>
      </c>
      <c r="E56" s="231" t="s">
        <v>1456</v>
      </c>
      <c r="F56" s="231" t="s">
        <v>161</v>
      </c>
      <c r="G56" s="231" t="s">
        <v>1103</v>
      </c>
      <c r="H56" s="232" t="s">
        <v>1457</v>
      </c>
      <c r="I56" s="226">
        <v>50005</v>
      </c>
      <c r="J56" s="226">
        <v>25002.5</v>
      </c>
      <c r="K56" s="226">
        <v>25002.5</v>
      </c>
      <c r="L56" s="226"/>
      <c r="M56" s="226"/>
      <c r="N56" s="226"/>
      <c r="O56" s="227">
        <f t="shared" si="3"/>
        <v>0</v>
      </c>
    </row>
    <row r="57" spans="1:15" s="228" customFormat="1" ht="78" x14ac:dyDescent="0.2">
      <c r="A57" s="221">
        <v>47</v>
      </c>
      <c r="B57" s="254">
        <v>242430</v>
      </c>
      <c r="C57" s="230" t="s">
        <v>1458</v>
      </c>
      <c r="D57" s="230" t="s">
        <v>1459</v>
      </c>
      <c r="E57" s="231" t="s">
        <v>897</v>
      </c>
      <c r="F57" s="231" t="s">
        <v>117</v>
      </c>
      <c r="G57" s="231" t="s">
        <v>898</v>
      </c>
      <c r="H57" s="232" t="s">
        <v>1460</v>
      </c>
      <c r="I57" s="226">
        <v>196020</v>
      </c>
      <c r="J57" s="226">
        <v>9801</v>
      </c>
      <c r="K57" s="226">
        <v>9801</v>
      </c>
      <c r="L57" s="226"/>
      <c r="M57" s="226"/>
      <c r="N57" s="226"/>
      <c r="O57" s="227">
        <f t="shared" si="3"/>
        <v>176418</v>
      </c>
    </row>
    <row r="58" spans="1:15" s="228" customFormat="1" ht="97.5" x14ac:dyDescent="0.2">
      <c r="A58" s="221">
        <v>48</v>
      </c>
      <c r="B58" s="254">
        <v>242430</v>
      </c>
      <c r="C58" s="256" t="s">
        <v>1109</v>
      </c>
      <c r="D58" s="230" t="s">
        <v>1461</v>
      </c>
      <c r="E58" s="231" t="s">
        <v>115</v>
      </c>
      <c r="F58" s="231" t="s">
        <v>117</v>
      </c>
      <c r="G58" s="231" t="s">
        <v>1462</v>
      </c>
      <c r="H58" s="232" t="s">
        <v>901</v>
      </c>
      <c r="I58" s="226">
        <v>2470000</v>
      </c>
      <c r="J58" s="226">
        <v>123500</v>
      </c>
      <c r="K58" s="226">
        <v>123500</v>
      </c>
      <c r="L58" s="226"/>
      <c r="M58" s="226"/>
      <c r="N58" s="226"/>
      <c r="O58" s="227">
        <f t="shared" si="3"/>
        <v>2223000</v>
      </c>
    </row>
    <row r="59" spans="1:15" s="228" customFormat="1" ht="117" x14ac:dyDescent="0.2">
      <c r="A59" s="221">
        <v>49</v>
      </c>
      <c r="B59" s="254">
        <v>242430</v>
      </c>
      <c r="C59" s="256" t="s">
        <v>1109</v>
      </c>
      <c r="D59" s="230" t="s">
        <v>1463</v>
      </c>
      <c r="E59" s="231" t="s">
        <v>963</v>
      </c>
      <c r="F59" s="231" t="s">
        <v>19</v>
      </c>
      <c r="G59" s="231" t="s">
        <v>964</v>
      </c>
      <c r="H59" s="232" t="s">
        <v>1464</v>
      </c>
      <c r="I59" s="226">
        <v>570000</v>
      </c>
      <c r="J59" s="226">
        <v>28500</v>
      </c>
      <c r="K59" s="226">
        <v>28500</v>
      </c>
      <c r="L59" s="226"/>
      <c r="M59" s="226"/>
      <c r="N59" s="226"/>
      <c r="O59" s="227">
        <f t="shared" ref="O59" si="4">+I59-(SUM(J59:N59))</f>
        <v>513000</v>
      </c>
    </row>
    <row r="60" spans="1:15" x14ac:dyDescent="0.45">
      <c r="A60" s="216" t="s">
        <v>447</v>
      </c>
      <c r="B60" s="251"/>
      <c r="C60" s="217"/>
      <c r="D60" s="217"/>
      <c r="E60" s="218"/>
      <c r="F60" s="219"/>
      <c r="G60" s="219"/>
      <c r="H60" s="219"/>
      <c r="I60" s="220">
        <f>SUM(I61:I93)</f>
        <v>8720513.4399999995</v>
      </c>
      <c r="J60" s="220">
        <f t="shared" ref="J60:O60" si="5">SUM(J61:J93)</f>
        <v>421520.38000000006</v>
      </c>
      <c r="K60" s="220">
        <f t="shared" si="5"/>
        <v>421520.38000000006</v>
      </c>
      <c r="L60" s="220">
        <f t="shared" si="5"/>
        <v>124385.55</v>
      </c>
      <c r="M60" s="220">
        <f t="shared" si="5"/>
        <v>104385.55</v>
      </c>
      <c r="N60" s="220">
        <f t="shared" si="5"/>
        <v>0</v>
      </c>
      <c r="O60" s="220">
        <f t="shared" si="5"/>
        <v>7648701.5800000001</v>
      </c>
    </row>
    <row r="61" spans="1:15" s="228" customFormat="1" ht="116.25" x14ac:dyDescent="0.2">
      <c r="A61" s="257">
        <v>1</v>
      </c>
      <c r="B61" s="258" t="s">
        <v>1295</v>
      </c>
      <c r="C61" s="259" t="s">
        <v>1465</v>
      </c>
      <c r="D61" s="260" t="s">
        <v>1466</v>
      </c>
      <c r="E61" s="261" t="s">
        <v>451</v>
      </c>
      <c r="F61" s="261" t="s">
        <v>22</v>
      </c>
      <c r="G61" s="261" t="s">
        <v>1467</v>
      </c>
      <c r="H61" s="262" t="s">
        <v>1468</v>
      </c>
      <c r="I61" s="263">
        <v>120000</v>
      </c>
      <c r="J61" s="263">
        <v>6000</v>
      </c>
      <c r="K61" s="263">
        <v>6000</v>
      </c>
      <c r="L61" s="263">
        <v>0</v>
      </c>
      <c r="M61" s="263">
        <v>0</v>
      </c>
      <c r="N61" s="263">
        <v>0</v>
      </c>
      <c r="O61" s="253">
        <f t="shared" si="1"/>
        <v>108000</v>
      </c>
    </row>
    <row r="62" spans="1:15" s="228" customFormat="1" ht="155.25" x14ac:dyDescent="0.2">
      <c r="A62" s="264">
        <v>2</v>
      </c>
      <c r="B62" s="254" t="s">
        <v>1352</v>
      </c>
      <c r="C62" s="230" t="s">
        <v>1469</v>
      </c>
      <c r="D62" s="230" t="s">
        <v>1470</v>
      </c>
      <c r="E62" s="231" t="s">
        <v>723</v>
      </c>
      <c r="F62" s="231" t="s">
        <v>22</v>
      </c>
      <c r="G62" s="231" t="s">
        <v>724</v>
      </c>
      <c r="H62" s="232" t="s">
        <v>1471</v>
      </c>
      <c r="I62" s="226">
        <v>120002</v>
      </c>
      <c r="J62" s="226">
        <f>39999+20002</f>
        <v>60001</v>
      </c>
      <c r="K62" s="226">
        <f>39999+20002</f>
        <v>60001</v>
      </c>
      <c r="L62" s="226">
        <v>0</v>
      </c>
      <c r="M62" s="226">
        <v>0</v>
      </c>
      <c r="N62" s="226">
        <v>0</v>
      </c>
      <c r="O62" s="227">
        <f t="shared" si="1"/>
        <v>0</v>
      </c>
    </row>
    <row r="63" spans="1:15" s="228" customFormat="1" ht="195" x14ac:dyDescent="0.2">
      <c r="A63" s="264">
        <v>3</v>
      </c>
      <c r="B63" s="254" t="s">
        <v>1472</v>
      </c>
      <c r="C63" s="230" t="s">
        <v>1473</v>
      </c>
      <c r="D63" s="230" t="s">
        <v>1474</v>
      </c>
      <c r="E63" s="231" t="s">
        <v>1139</v>
      </c>
      <c r="F63" s="231" t="s">
        <v>512</v>
      </c>
      <c r="G63" s="231" t="s">
        <v>1134</v>
      </c>
      <c r="H63" s="232" t="s">
        <v>1475</v>
      </c>
      <c r="I63" s="226">
        <v>16000</v>
      </c>
      <c r="J63" s="226">
        <v>8000</v>
      </c>
      <c r="K63" s="226">
        <v>8000</v>
      </c>
      <c r="L63" s="226">
        <v>0</v>
      </c>
      <c r="M63" s="226">
        <v>0</v>
      </c>
      <c r="N63" s="226">
        <v>0</v>
      </c>
      <c r="O63" s="227">
        <f t="shared" si="1"/>
        <v>0</v>
      </c>
    </row>
    <row r="64" spans="1:15" s="228" customFormat="1" ht="195" x14ac:dyDescent="0.2">
      <c r="A64" s="264">
        <v>4</v>
      </c>
      <c r="B64" s="254" t="s">
        <v>1476</v>
      </c>
      <c r="C64" s="230" t="s">
        <v>1477</v>
      </c>
      <c r="D64" s="230" t="s">
        <v>1478</v>
      </c>
      <c r="E64" s="231" t="s">
        <v>699</v>
      </c>
      <c r="F64" s="231" t="s">
        <v>22</v>
      </c>
      <c r="G64" s="231" t="s">
        <v>718</v>
      </c>
      <c r="H64" s="232" t="s">
        <v>1479</v>
      </c>
      <c r="I64" s="226">
        <v>59900</v>
      </c>
      <c r="J64" s="226">
        <v>0</v>
      </c>
      <c r="K64" s="226">
        <v>0</v>
      </c>
      <c r="L64" s="226">
        <v>2040.9</v>
      </c>
      <c r="M64" s="226">
        <v>2040.9</v>
      </c>
      <c r="N64" s="226">
        <v>0</v>
      </c>
      <c r="O64" s="227">
        <f t="shared" si="1"/>
        <v>55818.2</v>
      </c>
    </row>
    <row r="65" spans="1:15" s="228" customFormat="1" ht="155.25" x14ac:dyDescent="0.2">
      <c r="A65" s="264">
        <v>5</v>
      </c>
      <c r="B65" s="254" t="s">
        <v>1379</v>
      </c>
      <c r="C65" s="230" t="s">
        <v>1480</v>
      </c>
      <c r="D65" s="230" t="s">
        <v>1481</v>
      </c>
      <c r="E65" s="231" t="s">
        <v>752</v>
      </c>
      <c r="F65" s="231" t="s">
        <v>706</v>
      </c>
      <c r="G65" s="231" t="s">
        <v>1482</v>
      </c>
      <c r="H65" s="232" t="s">
        <v>1483</v>
      </c>
      <c r="I65" s="226">
        <v>30547</v>
      </c>
      <c r="J65" s="226">
        <v>0</v>
      </c>
      <c r="K65" s="226">
        <v>0</v>
      </c>
      <c r="L65" s="226">
        <v>15273.5</v>
      </c>
      <c r="M65" s="226">
        <v>15273.5</v>
      </c>
      <c r="N65" s="226">
        <v>0</v>
      </c>
      <c r="O65" s="227">
        <f t="shared" si="1"/>
        <v>0</v>
      </c>
    </row>
    <row r="66" spans="1:15" s="228" customFormat="1" ht="136.5" x14ac:dyDescent="0.2">
      <c r="A66" s="264">
        <v>6</v>
      </c>
      <c r="B66" s="254" t="s">
        <v>1484</v>
      </c>
      <c r="C66" s="230" t="s">
        <v>1485</v>
      </c>
      <c r="D66" s="230" t="s">
        <v>1486</v>
      </c>
      <c r="E66" s="231" t="s">
        <v>723</v>
      </c>
      <c r="F66" s="231" t="s">
        <v>22</v>
      </c>
      <c r="G66" s="231" t="s">
        <v>1144</v>
      </c>
      <c r="H66" s="232" t="s">
        <v>1487</v>
      </c>
      <c r="I66" s="226">
        <v>128250</v>
      </c>
      <c r="J66" s="226">
        <f>128250*0.1/2</f>
        <v>6412.5</v>
      </c>
      <c r="K66" s="226">
        <f>128250*0.1/2</f>
        <v>6412.5</v>
      </c>
      <c r="L66" s="226">
        <v>0</v>
      </c>
      <c r="M66" s="226">
        <v>0</v>
      </c>
      <c r="N66" s="226">
        <v>0</v>
      </c>
      <c r="O66" s="227">
        <f t="shared" si="1"/>
        <v>115425</v>
      </c>
    </row>
    <row r="67" spans="1:15" s="228" customFormat="1" ht="136.5" x14ac:dyDescent="0.2">
      <c r="A67" s="264">
        <v>7</v>
      </c>
      <c r="B67" s="254" t="s">
        <v>1484</v>
      </c>
      <c r="C67" s="230" t="s">
        <v>1488</v>
      </c>
      <c r="D67" s="230" t="s">
        <v>1489</v>
      </c>
      <c r="E67" s="231" t="s">
        <v>492</v>
      </c>
      <c r="F67" s="231" t="s">
        <v>22</v>
      </c>
      <c r="G67" s="231" t="s">
        <v>1144</v>
      </c>
      <c r="H67" s="232" t="s">
        <v>1490</v>
      </c>
      <c r="I67" s="226">
        <v>139650</v>
      </c>
      <c r="J67" s="226">
        <f>139650*0.1/2</f>
        <v>6982.5</v>
      </c>
      <c r="K67" s="226">
        <f>139650*0.1/2</f>
        <v>6982.5</v>
      </c>
      <c r="L67" s="226">
        <v>0</v>
      </c>
      <c r="M67" s="226">
        <v>0</v>
      </c>
      <c r="N67" s="226">
        <v>0</v>
      </c>
      <c r="O67" s="227">
        <f t="shared" si="1"/>
        <v>125685</v>
      </c>
    </row>
    <row r="68" spans="1:15" s="228" customFormat="1" ht="194.25" x14ac:dyDescent="0.2">
      <c r="A68" s="264">
        <v>8</v>
      </c>
      <c r="B68" s="254" t="s">
        <v>1491</v>
      </c>
      <c r="C68" s="230" t="s">
        <v>1492</v>
      </c>
      <c r="D68" s="230" t="s">
        <v>1493</v>
      </c>
      <c r="E68" s="231" t="s">
        <v>699</v>
      </c>
      <c r="F68" s="231" t="s">
        <v>22</v>
      </c>
      <c r="G68" s="231" t="s">
        <v>700</v>
      </c>
      <c r="H68" s="232" t="s">
        <v>1494</v>
      </c>
      <c r="I68" s="226">
        <v>59900</v>
      </c>
      <c r="J68" s="226">
        <v>0</v>
      </c>
      <c r="K68" s="226">
        <v>0</v>
      </c>
      <c r="L68" s="226">
        <v>2040.9</v>
      </c>
      <c r="M68" s="226">
        <v>2040.9</v>
      </c>
      <c r="N68" s="226">
        <v>0</v>
      </c>
      <c r="O68" s="227">
        <f t="shared" si="1"/>
        <v>55818.2</v>
      </c>
    </row>
    <row r="69" spans="1:15" s="228" customFormat="1" ht="135.75" x14ac:dyDescent="0.2">
      <c r="A69" s="264">
        <v>9</v>
      </c>
      <c r="B69" s="254" t="s">
        <v>1495</v>
      </c>
      <c r="C69" s="230" t="s">
        <v>1496</v>
      </c>
      <c r="D69" s="230" t="s">
        <v>1497</v>
      </c>
      <c r="E69" s="231" t="s">
        <v>461</v>
      </c>
      <c r="F69" s="231" t="s">
        <v>22</v>
      </c>
      <c r="G69" s="231" t="s">
        <v>1498</v>
      </c>
      <c r="H69" s="232" t="s">
        <v>1499</v>
      </c>
      <c r="I69" s="226">
        <v>10000</v>
      </c>
      <c r="J69" s="226">
        <v>0</v>
      </c>
      <c r="K69" s="226">
        <v>0</v>
      </c>
      <c r="L69" s="265" t="s">
        <v>1500</v>
      </c>
      <c r="M69" s="226"/>
      <c r="N69" s="226">
        <v>0</v>
      </c>
      <c r="O69" s="227">
        <f t="shared" si="1"/>
        <v>10000</v>
      </c>
    </row>
    <row r="70" spans="1:15" s="228" customFormat="1" ht="78" x14ac:dyDescent="0.2">
      <c r="A70" s="264">
        <v>10</v>
      </c>
      <c r="B70" s="254" t="s">
        <v>1501</v>
      </c>
      <c r="C70" s="230" t="s">
        <v>1502</v>
      </c>
      <c r="D70" s="230" t="s">
        <v>1503</v>
      </c>
      <c r="E70" s="231" t="s">
        <v>451</v>
      </c>
      <c r="F70" s="231" t="s">
        <v>22</v>
      </c>
      <c r="G70" s="231" t="s">
        <v>452</v>
      </c>
      <c r="H70" s="232" t="s">
        <v>1504</v>
      </c>
      <c r="I70" s="226">
        <v>214555.76</v>
      </c>
      <c r="J70" s="226">
        <v>10727.79</v>
      </c>
      <c r="K70" s="226">
        <v>10727.79</v>
      </c>
      <c r="L70" s="226">
        <v>0</v>
      </c>
      <c r="M70" s="226">
        <v>0</v>
      </c>
      <c r="N70" s="226">
        <v>0</v>
      </c>
      <c r="O70" s="227">
        <f t="shared" si="1"/>
        <v>193100.18</v>
      </c>
    </row>
    <row r="71" spans="1:15" s="228" customFormat="1" ht="116.25" x14ac:dyDescent="0.2">
      <c r="A71" s="264">
        <v>11</v>
      </c>
      <c r="B71" s="254" t="s">
        <v>1409</v>
      </c>
      <c r="C71" s="230" t="s">
        <v>1505</v>
      </c>
      <c r="D71" s="230" t="s">
        <v>1506</v>
      </c>
      <c r="E71" s="231" t="s">
        <v>475</v>
      </c>
      <c r="F71" s="231" t="s">
        <v>22</v>
      </c>
      <c r="G71" s="231" t="s">
        <v>1498</v>
      </c>
      <c r="H71" s="232" t="s">
        <v>1507</v>
      </c>
      <c r="I71" s="226">
        <v>42000</v>
      </c>
      <c r="J71" s="226">
        <v>0</v>
      </c>
      <c r="K71" s="226">
        <v>0</v>
      </c>
      <c r="L71" s="265" t="s">
        <v>1500</v>
      </c>
      <c r="M71" s="226"/>
      <c r="N71" s="226">
        <v>0</v>
      </c>
      <c r="O71" s="227">
        <f t="shared" si="1"/>
        <v>42000</v>
      </c>
    </row>
    <row r="72" spans="1:15" s="228" customFormat="1" ht="96.75" x14ac:dyDescent="0.2">
      <c r="A72" s="264">
        <v>12</v>
      </c>
      <c r="B72" s="254" t="s">
        <v>1508</v>
      </c>
      <c r="C72" s="230" t="s">
        <v>1509</v>
      </c>
      <c r="D72" s="230" t="s">
        <v>1510</v>
      </c>
      <c r="E72" s="231" t="s">
        <v>1511</v>
      </c>
      <c r="F72" s="231" t="s">
        <v>22</v>
      </c>
      <c r="G72" s="231" t="s">
        <v>1512</v>
      </c>
      <c r="H72" s="232" t="s">
        <v>1513</v>
      </c>
      <c r="I72" s="226">
        <v>252000</v>
      </c>
      <c r="J72" s="226">
        <v>0</v>
      </c>
      <c r="K72" s="226">
        <v>0</v>
      </c>
      <c r="L72" s="226">
        <v>17500</v>
      </c>
      <c r="M72" s="226">
        <v>17500</v>
      </c>
      <c r="N72" s="226">
        <v>0</v>
      </c>
      <c r="O72" s="227">
        <f t="shared" si="1"/>
        <v>217000</v>
      </c>
    </row>
    <row r="73" spans="1:15" s="228" customFormat="1" ht="135.75" x14ac:dyDescent="0.2">
      <c r="A73" s="264">
        <v>13</v>
      </c>
      <c r="B73" s="254" t="s">
        <v>1514</v>
      </c>
      <c r="C73" s="230" t="s">
        <v>1515</v>
      </c>
      <c r="D73" s="230" t="s">
        <v>1516</v>
      </c>
      <c r="E73" s="231" t="s">
        <v>712</v>
      </c>
      <c r="F73" s="231" t="s">
        <v>22</v>
      </c>
      <c r="G73" s="231" t="s">
        <v>1517</v>
      </c>
      <c r="H73" s="232" t="s">
        <v>1518</v>
      </c>
      <c r="I73" s="226">
        <v>21600</v>
      </c>
      <c r="J73" s="226">
        <v>1080</v>
      </c>
      <c r="K73" s="226">
        <v>1080</v>
      </c>
      <c r="L73" s="226">
        <v>0</v>
      </c>
      <c r="M73" s="226">
        <v>0</v>
      </c>
      <c r="N73" s="226">
        <v>0</v>
      </c>
      <c r="O73" s="227">
        <f t="shared" si="1"/>
        <v>19440</v>
      </c>
    </row>
    <row r="74" spans="1:15" s="228" customFormat="1" ht="175.5" x14ac:dyDescent="0.2">
      <c r="A74" s="264">
        <v>14</v>
      </c>
      <c r="B74" s="254" t="s">
        <v>1519</v>
      </c>
      <c r="C74" s="230" t="s">
        <v>1520</v>
      </c>
      <c r="D74" s="230" t="s">
        <v>1521</v>
      </c>
      <c r="E74" s="231" t="s">
        <v>1202</v>
      </c>
      <c r="F74" s="231" t="s">
        <v>1522</v>
      </c>
      <c r="G74" s="231" t="s">
        <v>1523</v>
      </c>
      <c r="H74" s="232" t="s">
        <v>1524</v>
      </c>
      <c r="I74" s="226">
        <v>2000000</v>
      </c>
      <c r="J74" s="226">
        <v>100000</v>
      </c>
      <c r="K74" s="226">
        <v>100000</v>
      </c>
      <c r="L74" s="226">
        <v>0</v>
      </c>
      <c r="M74" s="226">
        <v>0</v>
      </c>
      <c r="N74" s="226">
        <v>0</v>
      </c>
      <c r="O74" s="227">
        <f t="shared" si="1"/>
        <v>1800000</v>
      </c>
    </row>
    <row r="75" spans="1:15" s="228" customFormat="1" ht="136.5" x14ac:dyDescent="0.2">
      <c r="A75" s="264">
        <v>15</v>
      </c>
      <c r="B75" s="254" t="s">
        <v>1519</v>
      </c>
      <c r="C75" s="230" t="s">
        <v>1520</v>
      </c>
      <c r="D75" s="230" t="s">
        <v>1521</v>
      </c>
      <c r="E75" s="231" t="s">
        <v>1206</v>
      </c>
      <c r="F75" s="231" t="s">
        <v>1522</v>
      </c>
      <c r="G75" s="231" t="s">
        <v>1523</v>
      </c>
      <c r="H75" s="232" t="s">
        <v>1525</v>
      </c>
      <c r="I75" s="226">
        <v>1000000</v>
      </c>
      <c r="J75" s="226">
        <v>50000</v>
      </c>
      <c r="K75" s="226">
        <v>50000</v>
      </c>
      <c r="L75" s="226">
        <v>0</v>
      </c>
      <c r="M75" s="226">
        <v>0</v>
      </c>
      <c r="N75" s="226">
        <v>0</v>
      </c>
      <c r="O75" s="227">
        <f t="shared" si="1"/>
        <v>900000</v>
      </c>
    </row>
    <row r="76" spans="1:15" s="228" customFormat="1" ht="156" x14ac:dyDescent="0.2">
      <c r="A76" s="264">
        <v>16</v>
      </c>
      <c r="B76" s="254" t="s">
        <v>1519</v>
      </c>
      <c r="C76" s="230" t="s">
        <v>1520</v>
      </c>
      <c r="D76" s="230" t="s">
        <v>1521</v>
      </c>
      <c r="E76" s="231" t="s">
        <v>963</v>
      </c>
      <c r="F76" s="231" t="s">
        <v>1522</v>
      </c>
      <c r="G76" s="231" t="s">
        <v>1523</v>
      </c>
      <c r="H76" s="232" t="s">
        <v>1526</v>
      </c>
      <c r="I76" s="226">
        <v>500000</v>
      </c>
      <c r="J76" s="226">
        <v>25000</v>
      </c>
      <c r="K76" s="226">
        <v>25000</v>
      </c>
      <c r="L76" s="226">
        <v>0</v>
      </c>
      <c r="M76" s="226">
        <v>0</v>
      </c>
      <c r="N76" s="226">
        <v>0</v>
      </c>
      <c r="O76" s="227">
        <f t="shared" si="1"/>
        <v>450000</v>
      </c>
    </row>
    <row r="77" spans="1:15" s="228" customFormat="1" ht="136.5" x14ac:dyDescent="0.2">
      <c r="A77" s="264">
        <v>17</v>
      </c>
      <c r="B77" s="254" t="s">
        <v>1519</v>
      </c>
      <c r="C77" s="230" t="s">
        <v>1520</v>
      </c>
      <c r="D77" s="230" t="s">
        <v>1521</v>
      </c>
      <c r="E77" s="231" t="s">
        <v>1527</v>
      </c>
      <c r="F77" s="231" t="s">
        <v>1522</v>
      </c>
      <c r="G77" s="231" t="s">
        <v>1523</v>
      </c>
      <c r="H77" s="232" t="s">
        <v>1528</v>
      </c>
      <c r="I77" s="226">
        <v>1000000</v>
      </c>
      <c r="J77" s="226">
        <v>50000</v>
      </c>
      <c r="K77" s="226">
        <v>50000</v>
      </c>
      <c r="L77" s="226">
        <v>0</v>
      </c>
      <c r="M77" s="226">
        <v>0</v>
      </c>
      <c r="N77" s="226">
        <v>0</v>
      </c>
      <c r="O77" s="227">
        <f t="shared" si="1"/>
        <v>900000</v>
      </c>
    </row>
    <row r="78" spans="1:15" s="228" customFormat="1" ht="97.5" x14ac:dyDescent="0.2">
      <c r="A78" s="264">
        <v>18</v>
      </c>
      <c r="B78" s="254" t="s">
        <v>1414</v>
      </c>
      <c r="C78" s="230" t="s">
        <v>1529</v>
      </c>
      <c r="D78" s="230" t="s">
        <v>1530</v>
      </c>
      <c r="E78" s="231" t="s">
        <v>1531</v>
      </c>
      <c r="F78" s="231" t="s">
        <v>739</v>
      </c>
      <c r="G78" s="231" t="s">
        <v>1103</v>
      </c>
      <c r="H78" s="232" t="s">
        <v>1532</v>
      </c>
      <c r="I78" s="226">
        <v>65336</v>
      </c>
      <c r="J78" s="226">
        <v>0</v>
      </c>
      <c r="K78" s="226">
        <v>0</v>
      </c>
      <c r="L78" s="226">
        <v>32668</v>
      </c>
      <c r="M78" s="226">
        <v>32668</v>
      </c>
      <c r="N78" s="226">
        <v>0</v>
      </c>
      <c r="O78" s="227">
        <f t="shared" si="1"/>
        <v>0</v>
      </c>
    </row>
    <row r="79" spans="1:15" s="228" customFormat="1" ht="97.5" x14ac:dyDescent="0.2">
      <c r="A79" s="264">
        <v>19</v>
      </c>
      <c r="B79" s="254" t="s">
        <v>1414</v>
      </c>
      <c r="C79" s="230" t="s">
        <v>1533</v>
      </c>
      <c r="D79" s="230" t="s">
        <v>1534</v>
      </c>
      <c r="E79" s="231" t="s">
        <v>1511</v>
      </c>
      <c r="F79" s="231" t="s">
        <v>22</v>
      </c>
      <c r="G79" s="231" t="s">
        <v>1512</v>
      </c>
      <c r="H79" s="232" t="s">
        <v>1535</v>
      </c>
      <c r="I79" s="226">
        <v>48000</v>
      </c>
      <c r="J79" s="226">
        <v>0</v>
      </c>
      <c r="K79" s="226">
        <v>0</v>
      </c>
      <c r="L79" s="266" t="s">
        <v>1536</v>
      </c>
      <c r="M79" s="226"/>
      <c r="N79" s="226">
        <v>0</v>
      </c>
      <c r="O79" s="227">
        <f t="shared" si="1"/>
        <v>48000</v>
      </c>
    </row>
    <row r="80" spans="1:15" s="228" customFormat="1" ht="116.25" x14ac:dyDescent="0.2">
      <c r="A80" s="264">
        <v>20</v>
      </c>
      <c r="B80" s="254" t="s">
        <v>1537</v>
      </c>
      <c r="C80" s="230" t="s">
        <v>1538</v>
      </c>
      <c r="D80" s="230" t="s">
        <v>1539</v>
      </c>
      <c r="E80" s="231" t="s">
        <v>1185</v>
      </c>
      <c r="F80" s="231" t="s">
        <v>739</v>
      </c>
      <c r="G80" s="231" t="s">
        <v>1540</v>
      </c>
      <c r="H80" s="232" t="s">
        <v>1541</v>
      </c>
      <c r="I80" s="226">
        <v>698225</v>
      </c>
      <c r="J80" s="226">
        <v>34911.25</v>
      </c>
      <c r="K80" s="226">
        <v>34911.25</v>
      </c>
      <c r="L80" s="266">
        <v>0</v>
      </c>
      <c r="M80" s="226">
        <v>0</v>
      </c>
      <c r="N80" s="226">
        <v>0</v>
      </c>
      <c r="O80" s="227">
        <f t="shared" si="1"/>
        <v>628402.5</v>
      </c>
    </row>
    <row r="81" spans="1:15" s="228" customFormat="1" ht="116.25" x14ac:dyDescent="0.2">
      <c r="A81" s="264">
        <v>21</v>
      </c>
      <c r="B81" s="254" t="s">
        <v>1537</v>
      </c>
      <c r="C81" s="230" t="s">
        <v>1542</v>
      </c>
      <c r="D81" s="230" t="s">
        <v>1539</v>
      </c>
      <c r="E81" s="231" t="s">
        <v>1185</v>
      </c>
      <c r="F81" s="231" t="s">
        <v>739</v>
      </c>
      <c r="G81" s="231" t="s">
        <v>1540</v>
      </c>
      <c r="H81" s="232" t="s">
        <v>1543</v>
      </c>
      <c r="I81" s="226">
        <v>71400</v>
      </c>
      <c r="J81" s="226">
        <v>0</v>
      </c>
      <c r="K81" s="226">
        <v>0</v>
      </c>
      <c r="L81" s="266">
        <v>0</v>
      </c>
      <c r="M81" s="226">
        <v>0</v>
      </c>
      <c r="N81" s="145" t="s">
        <v>311</v>
      </c>
      <c r="O81" s="227">
        <f t="shared" si="1"/>
        <v>71400</v>
      </c>
    </row>
    <row r="82" spans="1:15" s="228" customFormat="1" ht="117" x14ac:dyDescent="0.2">
      <c r="A82" s="264">
        <v>22</v>
      </c>
      <c r="B82" s="254" t="s">
        <v>1544</v>
      </c>
      <c r="C82" s="230" t="s">
        <v>1545</v>
      </c>
      <c r="D82" s="230" t="s">
        <v>1546</v>
      </c>
      <c r="E82" s="231" t="s">
        <v>712</v>
      </c>
      <c r="F82" s="231" t="s">
        <v>22</v>
      </c>
      <c r="G82" s="231" t="s">
        <v>1540</v>
      </c>
      <c r="H82" s="232" t="s">
        <v>1547</v>
      </c>
      <c r="I82" s="226">
        <v>21600</v>
      </c>
      <c r="J82" s="226">
        <v>1080</v>
      </c>
      <c r="K82" s="226">
        <v>1080</v>
      </c>
      <c r="L82" s="266">
        <v>0</v>
      </c>
      <c r="M82" s="226">
        <v>0</v>
      </c>
      <c r="N82" s="226">
        <v>0</v>
      </c>
      <c r="O82" s="227">
        <f t="shared" si="1"/>
        <v>19440</v>
      </c>
    </row>
    <row r="83" spans="1:15" s="228" customFormat="1" ht="194.25" x14ac:dyDescent="0.2">
      <c r="A83" s="264">
        <v>23</v>
      </c>
      <c r="B83" s="254" t="s">
        <v>1548</v>
      </c>
      <c r="C83" s="230" t="s">
        <v>1549</v>
      </c>
      <c r="D83" s="230" t="s">
        <v>1550</v>
      </c>
      <c r="E83" s="231" t="s">
        <v>1551</v>
      </c>
      <c r="F83" s="231" t="s">
        <v>1552</v>
      </c>
      <c r="G83" s="231" t="s">
        <v>1553</v>
      </c>
      <c r="H83" s="232" t="s">
        <v>1554</v>
      </c>
      <c r="I83" s="226">
        <v>800000</v>
      </c>
      <c r="J83" s="226">
        <v>40000</v>
      </c>
      <c r="K83" s="226">
        <v>40000</v>
      </c>
      <c r="L83" s="266">
        <v>0</v>
      </c>
      <c r="M83" s="226">
        <v>0</v>
      </c>
      <c r="N83" s="226">
        <v>0</v>
      </c>
      <c r="O83" s="227">
        <f t="shared" si="1"/>
        <v>720000</v>
      </c>
    </row>
    <row r="84" spans="1:15" s="228" customFormat="1" ht="114.75" x14ac:dyDescent="0.2">
      <c r="A84" s="264">
        <v>24</v>
      </c>
      <c r="B84" s="254" t="s">
        <v>1555</v>
      </c>
      <c r="C84" s="230" t="s">
        <v>1556</v>
      </c>
      <c r="D84" s="230" t="s">
        <v>1557</v>
      </c>
      <c r="E84" s="231" t="s">
        <v>388</v>
      </c>
      <c r="F84" s="231" t="s">
        <v>22</v>
      </c>
      <c r="G84" s="231" t="s">
        <v>718</v>
      </c>
      <c r="H84" s="232" t="s">
        <v>1558</v>
      </c>
      <c r="I84" s="226">
        <v>23500</v>
      </c>
      <c r="J84" s="226">
        <v>0</v>
      </c>
      <c r="K84" s="226">
        <v>0</v>
      </c>
      <c r="L84" s="266">
        <v>0</v>
      </c>
      <c r="M84" s="226">
        <v>0</v>
      </c>
      <c r="N84" s="145" t="s">
        <v>311</v>
      </c>
      <c r="O84" s="227">
        <f t="shared" si="1"/>
        <v>23500</v>
      </c>
    </row>
    <row r="85" spans="1:15" s="228" customFormat="1" ht="155.25" x14ac:dyDescent="0.2">
      <c r="A85" s="264">
        <v>25</v>
      </c>
      <c r="B85" s="254" t="s">
        <v>1559</v>
      </c>
      <c r="C85" s="230" t="s">
        <v>1560</v>
      </c>
      <c r="D85" s="230" t="s">
        <v>1561</v>
      </c>
      <c r="E85" s="231" t="s">
        <v>1562</v>
      </c>
      <c r="F85" s="231" t="s">
        <v>512</v>
      </c>
      <c r="G85" s="231" t="s">
        <v>1134</v>
      </c>
      <c r="H85" s="232" t="s">
        <v>1563</v>
      </c>
      <c r="I85" s="226">
        <v>13200</v>
      </c>
      <c r="J85" s="226">
        <v>6600</v>
      </c>
      <c r="K85" s="226">
        <v>6600</v>
      </c>
      <c r="L85" s="266">
        <v>0</v>
      </c>
      <c r="M85" s="226">
        <v>0</v>
      </c>
      <c r="N85" s="226">
        <v>0</v>
      </c>
      <c r="O85" s="227">
        <f t="shared" si="1"/>
        <v>0</v>
      </c>
    </row>
    <row r="86" spans="1:15" s="228" customFormat="1" ht="155.25" x14ac:dyDescent="0.2">
      <c r="A86" s="264">
        <v>26</v>
      </c>
      <c r="B86" s="254" t="s">
        <v>1564</v>
      </c>
      <c r="C86" s="230" t="s">
        <v>1565</v>
      </c>
      <c r="D86" s="230" t="s">
        <v>1566</v>
      </c>
      <c r="E86" s="231" t="s">
        <v>752</v>
      </c>
      <c r="F86" s="231" t="s">
        <v>1567</v>
      </c>
      <c r="G86" s="231" t="s">
        <v>1568</v>
      </c>
      <c r="H86" s="232" t="s">
        <v>1569</v>
      </c>
      <c r="I86" s="226">
        <v>30547</v>
      </c>
      <c r="J86" s="226">
        <v>0</v>
      </c>
      <c r="K86" s="226">
        <v>0</v>
      </c>
      <c r="L86" s="267">
        <v>15273.5</v>
      </c>
      <c r="M86" s="226">
        <v>15273.5</v>
      </c>
      <c r="N86" s="226">
        <v>0</v>
      </c>
      <c r="O86" s="227">
        <f t="shared" si="1"/>
        <v>0</v>
      </c>
    </row>
    <row r="87" spans="1:15" s="228" customFormat="1" ht="116.25" x14ac:dyDescent="0.2">
      <c r="A87" s="264">
        <v>27</v>
      </c>
      <c r="B87" s="254" t="s">
        <v>1570</v>
      </c>
      <c r="C87" s="230" t="s">
        <v>1571</v>
      </c>
      <c r="D87" s="230" t="s">
        <v>1572</v>
      </c>
      <c r="E87" s="231" t="s">
        <v>1185</v>
      </c>
      <c r="F87" s="231" t="s">
        <v>1186</v>
      </c>
      <c r="G87" s="231" t="s">
        <v>1187</v>
      </c>
      <c r="H87" s="232" t="s">
        <v>1573</v>
      </c>
      <c r="I87" s="226">
        <v>893850</v>
      </c>
      <c r="J87" s="226">
        <v>0</v>
      </c>
      <c r="K87" s="226">
        <v>0</v>
      </c>
      <c r="L87" s="267">
        <v>19588.75</v>
      </c>
      <c r="M87" s="226">
        <v>19588.75</v>
      </c>
      <c r="N87" s="226"/>
      <c r="O87" s="227">
        <f t="shared" si="1"/>
        <v>854672.5</v>
      </c>
    </row>
    <row r="88" spans="1:15" s="228" customFormat="1" ht="78" x14ac:dyDescent="0.2">
      <c r="A88" s="264">
        <v>28</v>
      </c>
      <c r="B88" s="254" t="s">
        <v>1574</v>
      </c>
      <c r="C88" s="230" t="s">
        <v>1575</v>
      </c>
      <c r="D88" s="230" t="s">
        <v>1576</v>
      </c>
      <c r="E88" s="231" t="s">
        <v>1577</v>
      </c>
      <c r="F88" s="231" t="s">
        <v>22</v>
      </c>
      <c r="G88" s="231" t="s">
        <v>1578</v>
      </c>
      <c r="H88" s="232" t="s">
        <v>1579</v>
      </c>
      <c r="I88" s="226">
        <v>170000</v>
      </c>
      <c r="J88" s="226">
        <v>8500</v>
      </c>
      <c r="K88" s="226">
        <v>8500</v>
      </c>
      <c r="L88" s="267"/>
      <c r="M88" s="226"/>
      <c r="N88" s="226"/>
      <c r="O88" s="227">
        <f t="shared" ref="O88:O93" si="6">+I88-(SUM(J88:N88))</f>
        <v>153000</v>
      </c>
    </row>
    <row r="89" spans="1:15" s="228" customFormat="1" ht="97.5" x14ac:dyDescent="0.2">
      <c r="A89" s="264">
        <v>29</v>
      </c>
      <c r="B89" s="254" t="s">
        <v>1574</v>
      </c>
      <c r="C89" s="230" t="s">
        <v>1580</v>
      </c>
      <c r="D89" s="230" t="s">
        <v>1581</v>
      </c>
      <c r="E89" s="231" t="s">
        <v>451</v>
      </c>
      <c r="F89" s="231" t="s">
        <v>22</v>
      </c>
      <c r="G89" s="231" t="s">
        <v>1582</v>
      </c>
      <c r="H89" s="232" t="s">
        <v>1583</v>
      </c>
      <c r="I89" s="226">
        <v>120000</v>
      </c>
      <c r="J89" s="226">
        <v>6000</v>
      </c>
      <c r="K89" s="226">
        <v>6000</v>
      </c>
      <c r="L89" s="267"/>
      <c r="M89" s="226"/>
      <c r="N89" s="226"/>
      <c r="O89" s="227">
        <f t="shared" si="6"/>
        <v>108000</v>
      </c>
    </row>
    <row r="90" spans="1:15" s="228" customFormat="1" ht="116.25" x14ac:dyDescent="0.2">
      <c r="A90" s="264">
        <v>30</v>
      </c>
      <c r="B90" s="254" t="s">
        <v>1584</v>
      </c>
      <c r="C90" s="230" t="s">
        <v>1585</v>
      </c>
      <c r="D90" s="230" t="s">
        <v>1586</v>
      </c>
      <c r="E90" s="231" t="s">
        <v>1587</v>
      </c>
      <c r="F90" s="231" t="s">
        <v>22</v>
      </c>
      <c r="G90" s="231" t="s">
        <v>1588</v>
      </c>
      <c r="H90" s="232" t="s">
        <v>1589</v>
      </c>
      <c r="I90" s="226">
        <v>12000</v>
      </c>
      <c r="J90" s="226">
        <v>0</v>
      </c>
      <c r="K90" s="226"/>
      <c r="L90" s="266" t="s">
        <v>1500</v>
      </c>
      <c r="M90" s="226"/>
      <c r="N90" s="226"/>
      <c r="O90" s="227">
        <f t="shared" si="6"/>
        <v>12000</v>
      </c>
    </row>
    <row r="91" spans="1:15" s="228" customFormat="1" ht="156" x14ac:dyDescent="0.2">
      <c r="A91" s="264">
        <v>31</v>
      </c>
      <c r="B91" s="254">
        <v>242430</v>
      </c>
      <c r="C91" s="230" t="s">
        <v>11</v>
      </c>
      <c r="D91" s="230" t="s">
        <v>1590</v>
      </c>
      <c r="E91" s="231" t="s">
        <v>91</v>
      </c>
      <c r="F91" s="231" t="s">
        <v>91</v>
      </c>
      <c r="G91" s="231" t="s">
        <v>1591</v>
      </c>
      <c r="H91" s="232" t="s">
        <v>1592</v>
      </c>
      <c r="I91" s="226">
        <v>20000</v>
      </c>
      <c r="J91" s="226">
        <v>0</v>
      </c>
      <c r="K91" s="226"/>
      <c r="L91" s="268">
        <v>20000</v>
      </c>
      <c r="M91" s="226"/>
      <c r="N91" s="226"/>
      <c r="O91" s="227">
        <f t="shared" si="6"/>
        <v>0</v>
      </c>
    </row>
    <row r="92" spans="1:15" s="228" customFormat="1" ht="175.5" x14ac:dyDescent="0.2">
      <c r="A92" s="264">
        <v>32</v>
      </c>
      <c r="B92" s="254">
        <v>242430</v>
      </c>
      <c r="C92" s="230" t="s">
        <v>1593</v>
      </c>
      <c r="D92" s="230" t="s">
        <v>1594</v>
      </c>
      <c r="E92" s="231" t="s">
        <v>1595</v>
      </c>
      <c r="F92" s="231" t="s">
        <v>22</v>
      </c>
      <c r="G92" s="231" t="s">
        <v>1596</v>
      </c>
      <c r="H92" s="232" t="s">
        <v>1597</v>
      </c>
      <c r="I92" s="226">
        <v>450.68</v>
      </c>
      <c r="J92" s="226">
        <v>225.34</v>
      </c>
      <c r="K92" s="226">
        <v>225.34</v>
      </c>
      <c r="L92" s="266"/>
      <c r="M92" s="226"/>
      <c r="N92" s="226"/>
      <c r="O92" s="227">
        <f t="shared" si="6"/>
        <v>0</v>
      </c>
    </row>
    <row r="93" spans="1:15" s="228" customFormat="1" ht="135.75" x14ac:dyDescent="0.2">
      <c r="A93" s="264">
        <v>33</v>
      </c>
      <c r="B93" s="254">
        <v>242430</v>
      </c>
      <c r="C93" s="256" t="s">
        <v>1109</v>
      </c>
      <c r="D93" s="230" t="s">
        <v>1598</v>
      </c>
      <c r="E93" s="231" t="s">
        <v>461</v>
      </c>
      <c r="F93" s="231" t="s">
        <v>22</v>
      </c>
      <c r="G93" s="231" t="s">
        <v>1498</v>
      </c>
      <c r="H93" s="232" t="s">
        <v>1599</v>
      </c>
      <c r="I93" s="226">
        <v>18000</v>
      </c>
      <c r="J93" s="226">
        <v>0</v>
      </c>
      <c r="K93" s="226">
        <v>0</v>
      </c>
      <c r="L93" s="265" t="s">
        <v>1500</v>
      </c>
      <c r="M93" s="226"/>
      <c r="N93" s="226">
        <v>0</v>
      </c>
      <c r="O93" s="227">
        <f t="shared" si="6"/>
        <v>18000</v>
      </c>
    </row>
    <row r="94" spans="1:15" x14ac:dyDescent="0.45">
      <c r="A94" s="216" t="s">
        <v>515</v>
      </c>
      <c r="B94" s="251"/>
      <c r="C94" s="217"/>
      <c r="D94" s="217"/>
      <c r="E94" s="218"/>
      <c r="F94" s="219"/>
      <c r="G94" s="219"/>
      <c r="H94" s="219"/>
      <c r="I94" s="220">
        <f>SUM(I95)</f>
        <v>0</v>
      </c>
      <c r="J94" s="220">
        <f t="shared" ref="J94:O94" si="7">SUM(J95)</f>
        <v>0</v>
      </c>
      <c r="K94" s="220">
        <f t="shared" si="7"/>
        <v>0</v>
      </c>
      <c r="L94" s="220">
        <f t="shared" si="7"/>
        <v>0</v>
      </c>
      <c r="M94" s="220">
        <f t="shared" si="7"/>
        <v>0</v>
      </c>
      <c r="N94" s="220">
        <f t="shared" si="7"/>
        <v>0</v>
      </c>
      <c r="O94" s="234">
        <f t="shared" si="7"/>
        <v>0</v>
      </c>
    </row>
    <row r="95" spans="1:15" s="241" customFormat="1" x14ac:dyDescent="0.2">
      <c r="A95" s="235"/>
      <c r="B95" s="269"/>
      <c r="C95" s="236"/>
      <c r="D95" s="236"/>
      <c r="E95" s="237"/>
      <c r="F95" s="238"/>
      <c r="G95" s="238"/>
      <c r="H95" s="238"/>
      <c r="I95" s="239"/>
      <c r="J95" s="239"/>
      <c r="K95" s="239"/>
      <c r="L95" s="239"/>
      <c r="M95" s="239"/>
      <c r="N95" s="239"/>
      <c r="O95" s="240"/>
    </row>
    <row r="96" spans="1:15" s="243" customFormat="1" thickBot="1" x14ac:dyDescent="0.25">
      <c r="A96" s="579" t="s">
        <v>1600</v>
      </c>
      <c r="B96" s="580"/>
      <c r="C96" s="580"/>
      <c r="D96" s="580"/>
      <c r="E96" s="580"/>
      <c r="F96" s="580"/>
      <c r="G96" s="580"/>
      <c r="H96" s="581"/>
      <c r="I96" s="242">
        <f t="shared" ref="I96:O96" si="8">+I10+I60+I94+I8</f>
        <v>19556604.439999998</v>
      </c>
      <c r="J96" s="270">
        <f t="shared" si="8"/>
        <v>1039275.48</v>
      </c>
      <c r="K96" s="242">
        <f t="shared" si="8"/>
        <v>1039275.48</v>
      </c>
      <c r="L96" s="270">
        <f t="shared" si="8"/>
        <v>193763.87</v>
      </c>
      <c r="M96" s="242">
        <f t="shared" si="8"/>
        <v>173763.87</v>
      </c>
      <c r="N96" s="242">
        <f t="shared" si="8"/>
        <v>0</v>
      </c>
      <c r="O96" s="242">
        <f t="shared" si="8"/>
        <v>17110525.740000002</v>
      </c>
    </row>
    <row r="97" spans="1:16" x14ac:dyDescent="0.45">
      <c r="J97" s="272" t="s">
        <v>1601</v>
      </c>
      <c r="K97" s="273"/>
      <c r="L97" s="272" t="s">
        <v>1602</v>
      </c>
    </row>
    <row r="98" spans="1:16" x14ac:dyDescent="0.45">
      <c r="H98" s="274" t="s">
        <v>1603</v>
      </c>
      <c r="I98" s="274"/>
      <c r="J98" s="274"/>
      <c r="K98" s="275"/>
      <c r="L98" s="274"/>
      <c r="M98" s="274"/>
      <c r="N98" s="276">
        <f>+J96+L96</f>
        <v>1233039.3500000001</v>
      </c>
    </row>
    <row r="99" spans="1:16" x14ac:dyDescent="0.45">
      <c r="A99" s="155"/>
      <c r="B99" s="173"/>
      <c r="C99" s="155"/>
      <c r="D99" s="155"/>
      <c r="E99" s="157"/>
      <c r="F99" s="113"/>
      <c r="G99" s="113"/>
      <c r="H99" s="206" t="s">
        <v>1604</v>
      </c>
      <c r="I99" s="206"/>
      <c r="K99" s="248"/>
      <c r="N99" s="275">
        <v>0</v>
      </c>
      <c r="O99" s="113"/>
      <c r="P99" s="113"/>
    </row>
    <row r="100" spans="1:16" ht="20.25" thickBot="1" x14ac:dyDescent="0.5">
      <c r="A100" s="155"/>
      <c r="B100" s="173"/>
      <c r="C100" s="155"/>
      <c r="D100" s="155"/>
      <c r="E100" s="157"/>
      <c r="F100" s="113"/>
      <c r="G100" s="113"/>
      <c r="H100" s="274" t="s">
        <v>1605</v>
      </c>
      <c r="I100" s="274"/>
      <c r="J100" s="274"/>
      <c r="K100" s="275"/>
      <c r="L100" s="274"/>
      <c r="M100" s="274"/>
      <c r="N100" s="277">
        <f>+N98-N99</f>
        <v>1233039.3500000001</v>
      </c>
      <c r="O100" s="113"/>
      <c r="P100" s="113"/>
    </row>
    <row r="101" spans="1:16" ht="21" thickTop="1" thickBot="1" x14ac:dyDescent="0.5">
      <c r="A101" s="155"/>
      <c r="B101" s="173"/>
      <c r="C101" s="155"/>
      <c r="D101" s="155"/>
      <c r="E101" s="157"/>
      <c r="F101" s="113"/>
      <c r="G101" s="113"/>
      <c r="H101" s="113"/>
      <c r="I101" s="158"/>
      <c r="J101" s="113"/>
      <c r="K101" s="113"/>
      <c r="L101" s="113"/>
      <c r="M101" s="113"/>
      <c r="N101" s="113"/>
      <c r="O101" s="113"/>
      <c r="P101" s="113"/>
    </row>
    <row r="102" spans="1:16" x14ac:dyDescent="0.45">
      <c r="A102" s="155"/>
      <c r="B102" s="278"/>
      <c r="C102" s="279"/>
      <c r="D102" s="280"/>
      <c r="E102" s="280"/>
      <c r="F102" s="281"/>
      <c r="G102" s="281"/>
      <c r="H102" s="282"/>
      <c r="I102" s="158"/>
      <c r="J102" s="113"/>
      <c r="K102" s="113"/>
      <c r="L102" s="113"/>
      <c r="M102" s="113"/>
      <c r="N102" s="113"/>
      <c r="O102" s="113"/>
      <c r="P102" s="113"/>
    </row>
    <row r="103" spans="1:16" x14ac:dyDescent="0.45">
      <c r="A103" s="155"/>
      <c r="B103" s="283" t="s">
        <v>1606</v>
      </c>
      <c r="C103" s="284"/>
      <c r="D103" s="285"/>
      <c r="E103" s="285"/>
      <c r="F103" s="286"/>
      <c r="G103" s="286"/>
      <c r="H103" s="287"/>
      <c r="I103" s="158"/>
      <c r="J103" s="113"/>
      <c r="K103" s="113"/>
      <c r="L103" s="113"/>
      <c r="M103" s="113"/>
      <c r="N103" s="113"/>
      <c r="O103" s="113"/>
      <c r="P103" s="113"/>
    </row>
    <row r="104" spans="1:16" x14ac:dyDescent="0.45">
      <c r="A104" s="155"/>
      <c r="B104" s="288" t="s">
        <v>1607</v>
      </c>
      <c r="C104" s="284"/>
      <c r="D104" s="285"/>
      <c r="E104" s="285"/>
      <c r="F104" s="286"/>
      <c r="G104" s="286"/>
      <c r="H104" s="287"/>
      <c r="I104" s="158"/>
      <c r="J104" s="113"/>
      <c r="K104" s="113"/>
      <c r="L104" s="113"/>
      <c r="M104" s="113"/>
      <c r="N104" s="113"/>
      <c r="O104" s="113"/>
      <c r="P104" s="113"/>
    </row>
    <row r="105" spans="1:16" x14ac:dyDescent="0.45">
      <c r="A105" s="155"/>
      <c r="B105" s="288" t="s">
        <v>1608</v>
      </c>
      <c r="C105" s="284"/>
      <c r="D105" s="285"/>
      <c r="E105" s="285"/>
      <c r="F105" s="289">
        <f>+J96+L96</f>
        <v>1233039.3500000001</v>
      </c>
      <c r="G105" s="286"/>
      <c r="H105" s="287"/>
      <c r="I105" s="158"/>
      <c r="J105" s="113"/>
      <c r="K105" s="113"/>
      <c r="L105" s="113"/>
      <c r="M105" s="113"/>
      <c r="N105" s="113"/>
      <c r="O105" s="113"/>
      <c r="P105" s="113"/>
    </row>
    <row r="106" spans="1:16" x14ac:dyDescent="0.45">
      <c r="A106" s="155"/>
      <c r="B106" s="288" t="s">
        <v>1609</v>
      </c>
      <c r="C106" s="284"/>
      <c r="D106" s="285"/>
      <c r="E106" s="285"/>
      <c r="F106" s="286"/>
      <c r="G106" s="289">
        <f>+J96+L96</f>
        <v>1233039.3500000001</v>
      </c>
      <c r="H106" s="287"/>
      <c r="I106" s="158"/>
      <c r="J106" s="113"/>
      <c r="K106" s="113"/>
      <c r="L106" s="113"/>
      <c r="M106" s="113"/>
      <c r="N106" s="113"/>
      <c r="O106" s="113"/>
      <c r="P106" s="113"/>
    </row>
    <row r="107" spans="1:16" x14ac:dyDescent="0.45">
      <c r="A107" s="155"/>
      <c r="B107" s="290"/>
      <c r="C107" s="284"/>
      <c r="D107" s="285"/>
      <c r="E107" s="285"/>
      <c r="F107" s="286"/>
      <c r="G107" s="286"/>
      <c r="H107" s="287"/>
      <c r="I107" s="158"/>
      <c r="J107" s="113"/>
      <c r="K107" s="113"/>
      <c r="L107" s="113"/>
      <c r="M107" s="113"/>
      <c r="N107" s="113"/>
      <c r="O107" s="113"/>
      <c r="P107" s="113"/>
    </row>
    <row r="108" spans="1:16" x14ac:dyDescent="0.45">
      <c r="A108" s="155"/>
      <c r="B108" s="288" t="s">
        <v>1610</v>
      </c>
      <c r="C108" s="284"/>
      <c r="D108" s="285"/>
      <c r="E108" s="285"/>
      <c r="F108" s="286"/>
      <c r="G108" s="286"/>
      <c r="H108" s="287"/>
      <c r="I108" s="158"/>
      <c r="J108" s="113"/>
      <c r="K108" s="113"/>
      <c r="L108" s="113"/>
      <c r="M108" s="113"/>
      <c r="N108" s="113"/>
      <c r="O108" s="113"/>
      <c r="P108" s="113"/>
    </row>
    <row r="109" spans="1:16" x14ac:dyDescent="0.45">
      <c r="A109" s="155"/>
      <c r="B109" s="288" t="s">
        <v>1611</v>
      </c>
      <c r="C109" s="284"/>
      <c r="D109" s="285"/>
      <c r="E109" s="285"/>
      <c r="F109" s="289">
        <f>+J96+L96</f>
        <v>1233039.3500000001</v>
      </c>
      <c r="G109" s="286"/>
      <c r="H109" s="287"/>
      <c r="I109" s="158"/>
      <c r="J109" s="113"/>
      <c r="K109" s="113"/>
      <c r="L109" s="113"/>
      <c r="M109" s="113"/>
      <c r="N109" s="113"/>
      <c r="O109" s="113"/>
      <c r="P109" s="113"/>
    </row>
    <row r="110" spans="1:16" x14ac:dyDescent="0.45">
      <c r="A110" s="155"/>
      <c r="B110" s="288" t="s">
        <v>1612</v>
      </c>
      <c r="C110" s="284"/>
      <c r="D110" s="285"/>
      <c r="E110" s="285"/>
      <c r="F110" s="286"/>
      <c r="G110" s="289">
        <f>+J96+L96</f>
        <v>1233039.3500000001</v>
      </c>
      <c r="H110" s="287"/>
      <c r="I110" s="158"/>
      <c r="J110" s="113"/>
      <c r="K110" s="113"/>
      <c r="L110" s="113"/>
      <c r="M110" s="113"/>
      <c r="N110" s="113"/>
      <c r="O110" s="113"/>
      <c r="P110" s="113"/>
    </row>
    <row r="111" spans="1:16" x14ac:dyDescent="0.45">
      <c r="A111" s="155"/>
      <c r="B111" s="290"/>
      <c r="C111" s="284"/>
      <c r="D111" s="285"/>
      <c r="E111" s="285"/>
      <c r="F111" s="286"/>
      <c r="G111" s="286"/>
      <c r="H111" s="287"/>
      <c r="I111" s="158"/>
      <c r="J111" s="113"/>
      <c r="K111" s="113"/>
      <c r="L111" s="113"/>
      <c r="M111" s="113"/>
      <c r="N111" s="113"/>
      <c r="O111" s="113"/>
      <c r="P111" s="113"/>
    </row>
    <row r="112" spans="1:16" x14ac:dyDescent="0.45">
      <c r="A112" s="155"/>
      <c r="B112" s="288" t="s">
        <v>1613</v>
      </c>
      <c r="C112" s="284"/>
      <c r="D112" s="285"/>
      <c r="E112" s="285"/>
      <c r="F112" s="286"/>
      <c r="G112" s="286"/>
      <c r="H112" s="287"/>
      <c r="I112" s="158"/>
      <c r="J112" s="113"/>
      <c r="K112" s="113"/>
      <c r="L112" s="113"/>
      <c r="M112" s="113"/>
      <c r="N112" s="113"/>
      <c r="O112" s="113"/>
      <c r="P112" s="113"/>
    </row>
    <row r="113" spans="1:16" x14ac:dyDescent="0.45">
      <c r="A113" s="155"/>
      <c r="B113" s="288" t="s">
        <v>1614</v>
      </c>
      <c r="C113" s="284"/>
      <c r="D113" s="285"/>
      <c r="E113" s="285"/>
      <c r="F113" s="289">
        <f>+F109</f>
        <v>1233039.3500000001</v>
      </c>
      <c r="G113" s="286"/>
      <c r="H113" s="287"/>
      <c r="I113" s="158"/>
      <c r="J113" s="113"/>
      <c r="K113" s="113"/>
      <c r="L113" s="113"/>
      <c r="M113" s="113"/>
      <c r="N113" s="113"/>
      <c r="O113" s="113"/>
      <c r="P113" s="113"/>
    </row>
    <row r="114" spans="1:16" x14ac:dyDescent="0.45">
      <c r="A114" s="155"/>
      <c r="B114" s="288" t="s">
        <v>1615</v>
      </c>
      <c r="C114" s="284"/>
      <c r="D114" s="285"/>
      <c r="E114" s="285"/>
      <c r="F114" s="286"/>
      <c r="G114" s="289">
        <f>+G110</f>
        <v>1233039.3500000001</v>
      </c>
      <c r="H114" s="287"/>
      <c r="I114" s="158"/>
      <c r="J114" s="113"/>
      <c r="K114" s="113"/>
      <c r="L114" s="113"/>
      <c r="M114" s="113"/>
      <c r="N114" s="113"/>
      <c r="O114" s="113"/>
      <c r="P114" s="113"/>
    </row>
    <row r="115" spans="1:16" x14ac:dyDescent="0.45">
      <c r="A115" s="155"/>
      <c r="B115" s="288"/>
      <c r="C115" s="284"/>
      <c r="D115" s="285"/>
      <c r="E115" s="285"/>
      <c r="F115" s="286"/>
      <c r="G115" s="286"/>
      <c r="H115" s="287"/>
      <c r="I115" s="158"/>
      <c r="J115" s="113"/>
      <c r="K115" s="113"/>
      <c r="L115" s="113"/>
      <c r="M115" s="113"/>
      <c r="N115" s="113"/>
      <c r="O115" s="113"/>
      <c r="P115" s="113"/>
    </row>
    <row r="116" spans="1:16" x14ac:dyDescent="0.45">
      <c r="A116" s="155"/>
      <c r="B116" s="283" t="s">
        <v>1616</v>
      </c>
      <c r="C116" s="284"/>
      <c r="D116" s="285"/>
      <c r="E116" s="285"/>
      <c r="F116" s="286"/>
      <c r="G116" s="286"/>
      <c r="H116" s="287"/>
      <c r="I116" s="158"/>
      <c r="J116" s="113"/>
      <c r="K116" s="113"/>
      <c r="L116" s="113"/>
      <c r="M116" s="113"/>
      <c r="N116" s="113"/>
      <c r="O116" s="113"/>
      <c r="P116" s="113"/>
    </row>
    <row r="117" spans="1:16" x14ac:dyDescent="0.45">
      <c r="A117" s="155"/>
      <c r="B117" s="283" t="s">
        <v>1617</v>
      </c>
      <c r="C117" s="284"/>
      <c r="D117" s="285"/>
      <c r="E117" s="285"/>
      <c r="F117" s="286"/>
      <c r="G117" s="286"/>
      <c r="H117" s="287"/>
      <c r="I117" s="158"/>
      <c r="J117" s="113"/>
      <c r="K117" s="113"/>
      <c r="L117" s="113"/>
      <c r="M117" s="113"/>
      <c r="N117" s="113"/>
      <c r="O117" s="113"/>
      <c r="P117" s="113"/>
    </row>
    <row r="118" spans="1:16" x14ac:dyDescent="0.45">
      <c r="A118" s="155"/>
      <c r="B118" s="283" t="s">
        <v>1618</v>
      </c>
      <c r="C118" s="284"/>
      <c r="D118" s="285"/>
      <c r="E118" s="285"/>
      <c r="F118" s="286"/>
      <c r="G118" s="286"/>
      <c r="H118" s="287"/>
      <c r="I118" s="158"/>
      <c r="J118" s="113"/>
      <c r="K118" s="113"/>
      <c r="L118" s="113"/>
      <c r="M118" s="113"/>
      <c r="N118" s="113"/>
      <c r="O118" s="113"/>
      <c r="P118" s="113"/>
    </row>
    <row r="119" spans="1:16" x14ac:dyDescent="0.45">
      <c r="A119" s="155"/>
      <c r="B119" s="283" t="s">
        <v>1619</v>
      </c>
      <c r="C119" s="291" t="s">
        <v>1620</v>
      </c>
      <c r="D119" s="285"/>
      <c r="E119" s="285"/>
      <c r="F119" s="286"/>
      <c r="G119" s="286"/>
      <c r="H119" s="287"/>
      <c r="I119" s="158"/>
      <c r="J119" s="113"/>
      <c r="K119" s="113"/>
      <c r="L119" s="113"/>
      <c r="M119" s="113"/>
      <c r="N119" s="113"/>
      <c r="O119" s="113"/>
      <c r="P119" s="113"/>
    </row>
    <row r="120" spans="1:16" x14ac:dyDescent="0.45">
      <c r="A120" s="155"/>
      <c r="B120" s="283"/>
      <c r="C120" s="291" t="s">
        <v>1621</v>
      </c>
      <c r="D120" s="285"/>
      <c r="E120" s="285"/>
      <c r="F120" s="286"/>
      <c r="G120" s="286"/>
      <c r="H120" s="287"/>
      <c r="I120" s="158"/>
      <c r="J120" s="113"/>
      <c r="K120" s="113"/>
      <c r="L120" s="113"/>
      <c r="M120" s="113"/>
      <c r="N120" s="113"/>
      <c r="O120" s="113"/>
      <c r="P120" s="113"/>
    </row>
    <row r="121" spans="1:16" ht="20.25" thickBot="1" x14ac:dyDescent="0.5">
      <c r="A121" s="155"/>
      <c r="B121" s="292"/>
      <c r="C121" s="293"/>
      <c r="D121" s="294"/>
      <c r="E121" s="294"/>
      <c r="F121" s="295"/>
      <c r="G121" s="295"/>
      <c r="H121" s="296"/>
      <c r="I121" s="158"/>
      <c r="J121" s="113"/>
      <c r="K121" s="113"/>
      <c r="L121" s="113"/>
      <c r="M121" s="113"/>
      <c r="N121" s="113"/>
      <c r="O121" s="113"/>
      <c r="P121" s="113"/>
    </row>
    <row r="122" spans="1:16" x14ac:dyDescent="0.45">
      <c r="A122" s="155"/>
      <c r="B122" s="173"/>
      <c r="C122" s="155"/>
      <c r="D122" s="155"/>
      <c r="E122" s="157"/>
      <c r="F122" s="113"/>
      <c r="G122" s="113"/>
      <c r="H122" s="113"/>
      <c r="I122" s="158"/>
      <c r="J122" s="113"/>
      <c r="K122" s="113"/>
      <c r="L122" s="113"/>
      <c r="M122" s="113"/>
      <c r="N122" s="113"/>
      <c r="O122" s="113"/>
      <c r="P122" s="113"/>
    </row>
    <row r="123" spans="1:16" x14ac:dyDescent="0.45">
      <c r="A123" s="155"/>
      <c r="B123" s="173"/>
      <c r="C123" s="155"/>
      <c r="D123" s="155"/>
      <c r="E123" s="157"/>
      <c r="F123" s="113"/>
      <c r="G123" s="113"/>
      <c r="H123" s="113"/>
      <c r="I123" s="158"/>
      <c r="J123" s="113"/>
      <c r="K123" s="113"/>
      <c r="L123" s="113"/>
      <c r="M123" s="113"/>
      <c r="N123" s="113"/>
      <c r="O123" s="113"/>
      <c r="P123" s="113"/>
    </row>
    <row r="124" spans="1:16" x14ac:dyDescent="0.45">
      <c r="A124" s="155"/>
      <c r="B124" s="173"/>
      <c r="C124" s="155"/>
      <c r="D124" s="155"/>
      <c r="E124" s="157"/>
      <c r="F124" s="113"/>
      <c r="G124" s="113"/>
      <c r="H124" s="113"/>
      <c r="I124" s="158"/>
      <c r="J124" s="113"/>
      <c r="K124" s="113"/>
      <c r="L124" s="113"/>
      <c r="M124" s="113"/>
      <c r="N124" s="113"/>
      <c r="O124" s="113"/>
      <c r="P124" s="113"/>
    </row>
    <row r="125" spans="1:16" x14ac:dyDescent="0.45">
      <c r="A125" s="155"/>
      <c r="B125" s="173"/>
      <c r="C125" s="155"/>
      <c r="D125" s="155"/>
      <c r="E125" s="157"/>
      <c r="F125" s="113"/>
      <c r="G125" s="113"/>
      <c r="H125" s="113"/>
      <c r="I125" s="158"/>
      <c r="J125" s="113"/>
      <c r="K125" s="113"/>
      <c r="L125" s="113"/>
      <c r="M125" s="113"/>
      <c r="N125" s="113"/>
      <c r="O125" s="113"/>
      <c r="P125" s="113"/>
    </row>
    <row r="126" spans="1:16" x14ac:dyDescent="0.45">
      <c r="A126" s="155"/>
      <c r="B126" s="173"/>
      <c r="C126" s="155"/>
      <c r="D126" s="155"/>
      <c r="E126" s="157"/>
      <c r="F126" s="113"/>
      <c r="G126" s="113"/>
      <c r="H126" s="113"/>
      <c r="I126" s="158"/>
      <c r="J126" s="113"/>
      <c r="K126" s="113"/>
      <c r="L126" s="113"/>
      <c r="M126" s="113"/>
      <c r="N126" s="113"/>
      <c r="O126" s="113"/>
      <c r="P126" s="113"/>
    </row>
    <row r="127" spans="1:16" x14ac:dyDescent="0.45">
      <c r="A127" s="155"/>
      <c r="B127" s="173"/>
      <c r="C127" s="155"/>
      <c r="D127" s="155"/>
      <c r="E127" s="157"/>
      <c r="F127" s="113"/>
      <c r="G127" s="113"/>
      <c r="H127" s="113"/>
      <c r="I127" s="158"/>
      <c r="J127" s="113"/>
      <c r="K127" s="113"/>
      <c r="L127" s="113"/>
      <c r="M127" s="113"/>
      <c r="N127" s="113"/>
      <c r="O127" s="113"/>
      <c r="P127" s="113"/>
    </row>
    <row r="128" spans="1:16" x14ac:dyDescent="0.45">
      <c r="A128" s="155"/>
      <c r="B128" s="173"/>
      <c r="C128" s="155"/>
      <c r="D128" s="155"/>
      <c r="E128" s="157"/>
      <c r="F128" s="113"/>
      <c r="G128" s="113"/>
      <c r="H128" s="113"/>
      <c r="I128" s="158"/>
      <c r="J128" s="113"/>
      <c r="K128" s="113"/>
      <c r="L128" s="113"/>
      <c r="M128" s="113"/>
      <c r="N128" s="113"/>
      <c r="O128" s="113"/>
      <c r="P128" s="113"/>
    </row>
    <row r="129" spans="1:16" x14ac:dyDescent="0.45">
      <c r="A129" s="155"/>
      <c r="B129" s="173"/>
      <c r="C129" s="155"/>
      <c r="D129" s="155"/>
      <c r="E129" s="157"/>
      <c r="F129" s="113"/>
      <c r="G129" s="113"/>
      <c r="H129" s="113"/>
      <c r="I129" s="158"/>
      <c r="J129" s="113"/>
      <c r="K129" s="113"/>
      <c r="L129" s="113"/>
      <c r="M129" s="113"/>
      <c r="N129" s="113"/>
      <c r="O129" s="113"/>
      <c r="P129" s="113"/>
    </row>
    <row r="130" spans="1:16" x14ac:dyDescent="0.45">
      <c r="A130" s="155"/>
      <c r="B130" s="173"/>
      <c r="C130" s="155"/>
      <c r="D130" s="155"/>
      <c r="E130" s="157"/>
      <c r="F130" s="113"/>
      <c r="G130" s="113"/>
      <c r="H130" s="113"/>
      <c r="I130" s="158"/>
      <c r="J130" s="113"/>
      <c r="K130" s="113"/>
      <c r="L130" s="113"/>
      <c r="M130" s="113"/>
      <c r="N130" s="113"/>
      <c r="O130" s="113"/>
      <c r="P130" s="113"/>
    </row>
    <row r="131" spans="1:16" x14ac:dyDescent="0.45">
      <c r="A131" s="155"/>
      <c r="B131" s="173"/>
      <c r="C131" s="155"/>
      <c r="D131" s="155"/>
      <c r="E131" s="157"/>
      <c r="F131" s="113"/>
      <c r="G131" s="113"/>
      <c r="H131" s="113"/>
      <c r="I131" s="158"/>
      <c r="J131" s="113"/>
      <c r="K131" s="113"/>
      <c r="L131" s="113"/>
      <c r="M131" s="113"/>
      <c r="N131" s="113"/>
      <c r="O131" s="113"/>
      <c r="P131" s="113"/>
    </row>
    <row r="132" spans="1:16" x14ac:dyDescent="0.45">
      <c r="A132" s="155"/>
      <c r="B132" s="173"/>
      <c r="C132" s="155"/>
      <c r="D132" s="155"/>
      <c r="E132" s="157"/>
      <c r="F132" s="113"/>
      <c r="G132" s="113"/>
      <c r="H132" s="113"/>
      <c r="I132" s="158"/>
      <c r="J132" s="113"/>
      <c r="K132" s="113"/>
      <c r="L132" s="113"/>
      <c r="M132" s="113"/>
      <c r="N132" s="113"/>
      <c r="O132" s="113"/>
      <c r="P132" s="113"/>
    </row>
    <row r="133" spans="1:16" x14ac:dyDescent="0.45">
      <c r="A133" s="155"/>
      <c r="B133" s="173"/>
      <c r="C133" s="155"/>
      <c r="D133" s="155"/>
      <c r="E133" s="157"/>
      <c r="F133" s="113"/>
      <c r="G133" s="113"/>
      <c r="H133" s="113"/>
      <c r="I133" s="158"/>
      <c r="J133" s="113"/>
      <c r="K133" s="113"/>
      <c r="L133" s="113"/>
      <c r="M133" s="113"/>
      <c r="N133" s="113"/>
      <c r="O133" s="113"/>
      <c r="P133" s="113"/>
    </row>
    <row r="134" spans="1:16" x14ac:dyDescent="0.45">
      <c r="A134" s="155"/>
      <c r="B134" s="173"/>
      <c r="C134" s="155"/>
      <c r="D134" s="155"/>
      <c r="E134" s="157"/>
      <c r="F134" s="113"/>
      <c r="G134" s="113"/>
      <c r="H134" s="113"/>
      <c r="I134" s="158"/>
      <c r="J134" s="113"/>
      <c r="K134" s="113"/>
      <c r="L134" s="113"/>
      <c r="M134" s="113"/>
      <c r="N134" s="113"/>
      <c r="O134" s="113"/>
      <c r="P134" s="113"/>
    </row>
    <row r="135" spans="1:16" x14ac:dyDescent="0.45">
      <c r="A135" s="155"/>
      <c r="B135" s="173"/>
      <c r="C135" s="155"/>
      <c r="D135" s="155"/>
      <c r="E135" s="157"/>
      <c r="F135" s="113"/>
      <c r="G135" s="113"/>
      <c r="H135" s="113"/>
      <c r="I135" s="158"/>
      <c r="J135" s="113"/>
      <c r="K135" s="113"/>
      <c r="L135" s="113"/>
      <c r="M135" s="113"/>
      <c r="N135" s="113"/>
      <c r="O135" s="113"/>
      <c r="P135" s="113"/>
    </row>
    <row r="136" spans="1:16" x14ac:dyDescent="0.45">
      <c r="A136" s="155"/>
      <c r="B136" s="173"/>
      <c r="C136" s="155"/>
      <c r="D136" s="155"/>
      <c r="E136" s="157"/>
      <c r="F136" s="113"/>
      <c r="G136" s="113"/>
      <c r="H136" s="113"/>
      <c r="I136" s="158"/>
      <c r="J136" s="113"/>
      <c r="K136" s="113"/>
      <c r="L136" s="113"/>
      <c r="M136" s="113"/>
      <c r="N136" s="113"/>
      <c r="O136" s="113"/>
      <c r="P136" s="113"/>
    </row>
    <row r="137" spans="1:16" x14ac:dyDescent="0.45">
      <c r="A137" s="155"/>
      <c r="B137" s="173"/>
      <c r="C137" s="155"/>
      <c r="D137" s="155"/>
      <c r="E137" s="157"/>
      <c r="F137" s="113"/>
      <c r="G137" s="113"/>
      <c r="H137" s="113"/>
      <c r="I137" s="158"/>
      <c r="J137" s="113"/>
      <c r="K137" s="113"/>
      <c r="L137" s="113"/>
      <c r="M137" s="113"/>
      <c r="N137" s="113"/>
      <c r="O137" s="113"/>
      <c r="P137" s="113"/>
    </row>
    <row r="138" spans="1:16" x14ac:dyDescent="0.45">
      <c r="A138" s="155"/>
      <c r="B138" s="173"/>
      <c r="C138" s="155"/>
      <c r="D138" s="155"/>
      <c r="E138" s="157"/>
      <c r="F138" s="113"/>
      <c r="G138" s="113"/>
      <c r="H138" s="113"/>
      <c r="I138" s="158"/>
      <c r="J138" s="113"/>
      <c r="K138" s="113"/>
      <c r="L138" s="113"/>
      <c r="M138" s="113"/>
      <c r="N138" s="113"/>
      <c r="O138" s="113"/>
      <c r="P138" s="113"/>
    </row>
    <row r="139" spans="1:16" x14ac:dyDescent="0.45">
      <c r="A139" s="155"/>
      <c r="B139" s="173"/>
      <c r="C139" s="155"/>
      <c r="D139" s="155"/>
      <c r="E139" s="157"/>
      <c r="F139" s="113"/>
      <c r="G139" s="113"/>
      <c r="H139" s="113"/>
      <c r="I139" s="158"/>
      <c r="J139" s="113"/>
      <c r="K139" s="113"/>
      <c r="L139" s="113"/>
      <c r="M139" s="113"/>
      <c r="N139" s="113"/>
      <c r="O139" s="113"/>
      <c r="P139" s="113"/>
    </row>
    <row r="140" spans="1:16" x14ac:dyDescent="0.45">
      <c r="A140" s="155"/>
      <c r="B140" s="173"/>
      <c r="C140" s="155"/>
      <c r="D140" s="155"/>
      <c r="E140" s="157"/>
      <c r="F140" s="113"/>
      <c r="G140" s="113"/>
      <c r="H140" s="113"/>
      <c r="I140" s="158"/>
      <c r="J140" s="113"/>
      <c r="K140" s="113"/>
      <c r="L140" s="113"/>
      <c r="M140" s="113"/>
      <c r="N140" s="113"/>
      <c r="O140" s="113"/>
      <c r="P140" s="113"/>
    </row>
    <row r="141" spans="1:16" x14ac:dyDescent="0.45">
      <c r="A141" s="155"/>
      <c r="B141" s="173"/>
      <c r="C141" s="155"/>
      <c r="D141" s="155"/>
      <c r="E141" s="157"/>
      <c r="F141" s="113"/>
      <c r="G141" s="113"/>
      <c r="H141" s="113"/>
      <c r="I141" s="158"/>
      <c r="J141" s="113"/>
      <c r="K141" s="113"/>
      <c r="L141" s="113"/>
      <c r="M141" s="113"/>
      <c r="N141" s="113"/>
      <c r="O141" s="113"/>
      <c r="P141" s="113"/>
    </row>
    <row r="142" spans="1:16" x14ac:dyDescent="0.45">
      <c r="A142" s="155"/>
      <c r="B142" s="173"/>
      <c r="C142" s="155"/>
      <c r="D142" s="155"/>
      <c r="E142" s="157"/>
      <c r="F142" s="113"/>
      <c r="G142" s="113"/>
      <c r="H142" s="113"/>
      <c r="I142" s="158"/>
      <c r="J142" s="113"/>
      <c r="K142" s="113"/>
      <c r="L142" s="113"/>
      <c r="M142" s="113"/>
      <c r="N142" s="113"/>
      <c r="O142" s="113"/>
      <c r="P142" s="113"/>
    </row>
    <row r="143" spans="1:16" x14ac:dyDescent="0.45">
      <c r="A143" s="155"/>
      <c r="B143" s="173"/>
      <c r="C143" s="155"/>
      <c r="D143" s="155"/>
      <c r="E143" s="157"/>
      <c r="F143" s="113"/>
      <c r="G143" s="113"/>
      <c r="H143" s="113"/>
      <c r="I143" s="158"/>
      <c r="J143" s="113"/>
      <c r="K143" s="113"/>
      <c r="L143" s="113"/>
      <c r="M143" s="113"/>
      <c r="N143" s="113"/>
      <c r="O143" s="113"/>
      <c r="P143" s="113"/>
    </row>
    <row r="144" spans="1:16" x14ac:dyDescent="0.45">
      <c r="A144" s="155"/>
      <c r="B144" s="173"/>
      <c r="C144" s="155"/>
      <c r="D144" s="155"/>
      <c r="E144" s="157"/>
      <c r="F144" s="113"/>
      <c r="G144" s="113"/>
      <c r="H144" s="113"/>
      <c r="I144" s="158"/>
      <c r="J144" s="113"/>
      <c r="K144" s="113"/>
      <c r="L144" s="113"/>
      <c r="M144" s="113"/>
      <c r="N144" s="113"/>
      <c r="O144" s="113"/>
      <c r="P144" s="113"/>
    </row>
    <row r="145" spans="1:16" x14ac:dyDescent="0.45">
      <c r="A145" s="155"/>
      <c r="B145" s="173"/>
      <c r="C145" s="155"/>
      <c r="D145" s="155"/>
      <c r="E145" s="157"/>
      <c r="F145" s="113"/>
      <c r="G145" s="113"/>
      <c r="H145" s="113"/>
      <c r="I145" s="158"/>
      <c r="J145" s="113"/>
      <c r="K145" s="113"/>
      <c r="L145" s="113"/>
      <c r="M145" s="113"/>
      <c r="N145" s="113"/>
      <c r="O145" s="113"/>
      <c r="P145" s="113"/>
    </row>
    <row r="146" spans="1:16" x14ac:dyDescent="0.45">
      <c r="A146" s="155"/>
      <c r="B146" s="173"/>
      <c r="C146" s="155"/>
      <c r="D146" s="155"/>
      <c r="E146" s="157"/>
      <c r="F146" s="113"/>
      <c r="G146" s="113"/>
      <c r="H146" s="113"/>
      <c r="I146" s="158"/>
      <c r="J146" s="113"/>
      <c r="K146" s="113"/>
      <c r="L146" s="113"/>
      <c r="M146" s="113"/>
      <c r="N146" s="113"/>
      <c r="O146" s="113"/>
      <c r="P146" s="113"/>
    </row>
    <row r="147" spans="1:16" x14ac:dyDescent="0.45">
      <c r="A147" s="155"/>
      <c r="B147" s="173"/>
      <c r="C147" s="155"/>
      <c r="D147" s="155"/>
      <c r="E147" s="157"/>
      <c r="F147" s="113"/>
      <c r="G147" s="113"/>
      <c r="H147" s="113"/>
      <c r="I147" s="158"/>
      <c r="J147" s="113"/>
      <c r="K147" s="113"/>
      <c r="L147" s="113"/>
      <c r="M147" s="113"/>
      <c r="N147" s="113"/>
      <c r="O147" s="113"/>
      <c r="P147" s="113"/>
    </row>
    <row r="148" spans="1:16" x14ac:dyDescent="0.45">
      <c r="A148" s="155"/>
      <c r="B148" s="173"/>
      <c r="C148" s="155"/>
      <c r="D148" s="155"/>
      <c r="E148" s="157"/>
      <c r="F148" s="113"/>
      <c r="G148" s="113"/>
      <c r="H148" s="113"/>
      <c r="I148" s="158"/>
      <c r="J148" s="113"/>
      <c r="K148" s="113"/>
      <c r="L148" s="113"/>
      <c r="M148" s="113"/>
      <c r="N148" s="113"/>
      <c r="O148" s="113"/>
      <c r="P148" s="113"/>
    </row>
    <row r="149" spans="1:16" x14ac:dyDescent="0.45">
      <c r="A149" s="155"/>
      <c r="B149" s="173"/>
      <c r="C149" s="155"/>
      <c r="D149" s="155"/>
      <c r="E149" s="157"/>
      <c r="F149" s="113"/>
      <c r="G149" s="113"/>
      <c r="H149" s="113"/>
      <c r="I149" s="158"/>
      <c r="J149" s="113"/>
      <c r="K149" s="113"/>
      <c r="L149" s="113"/>
      <c r="M149" s="113"/>
      <c r="N149" s="113"/>
      <c r="O149" s="113"/>
      <c r="P149" s="113"/>
    </row>
    <row r="150" spans="1:16" x14ac:dyDescent="0.45">
      <c r="A150" s="155"/>
      <c r="B150" s="173"/>
      <c r="C150" s="155"/>
      <c r="D150" s="155"/>
      <c r="E150" s="157"/>
      <c r="F150" s="113"/>
      <c r="G150" s="113"/>
      <c r="H150" s="113"/>
      <c r="I150" s="158"/>
      <c r="J150" s="113"/>
      <c r="K150" s="113"/>
      <c r="L150" s="113"/>
      <c r="M150" s="113"/>
      <c r="N150" s="113"/>
      <c r="O150" s="113"/>
      <c r="P150" s="113"/>
    </row>
    <row r="151" spans="1:16" x14ac:dyDescent="0.45">
      <c r="A151" s="155"/>
      <c r="B151" s="173"/>
      <c r="C151" s="155"/>
      <c r="D151" s="155"/>
      <c r="E151" s="157"/>
      <c r="F151" s="113"/>
      <c r="G151" s="113"/>
      <c r="H151" s="113"/>
      <c r="I151" s="158"/>
      <c r="J151" s="113"/>
      <c r="K151" s="113"/>
      <c r="L151" s="113"/>
      <c r="M151" s="113"/>
      <c r="N151" s="113"/>
      <c r="O151" s="113"/>
      <c r="P151" s="113"/>
    </row>
    <row r="152" spans="1:16" x14ac:dyDescent="0.45">
      <c r="A152" s="155"/>
      <c r="B152" s="173"/>
      <c r="C152" s="155"/>
      <c r="D152" s="155"/>
      <c r="E152" s="157"/>
      <c r="F152" s="113"/>
      <c r="G152" s="113"/>
      <c r="H152" s="113"/>
      <c r="I152" s="158"/>
      <c r="J152" s="113"/>
      <c r="K152" s="113"/>
      <c r="L152" s="113"/>
      <c r="M152" s="113"/>
      <c r="N152" s="113"/>
      <c r="O152" s="113"/>
      <c r="P152" s="113"/>
    </row>
    <row r="153" spans="1:16" x14ac:dyDescent="0.45">
      <c r="A153" s="155"/>
      <c r="B153" s="173"/>
      <c r="C153" s="155"/>
      <c r="D153" s="155"/>
      <c r="E153" s="157"/>
      <c r="F153" s="113"/>
      <c r="G153" s="113"/>
      <c r="H153" s="113"/>
      <c r="I153" s="158"/>
      <c r="J153" s="113"/>
      <c r="K153" s="113"/>
      <c r="L153" s="113"/>
      <c r="M153" s="113"/>
      <c r="N153" s="113"/>
      <c r="O153" s="113"/>
      <c r="P153" s="113"/>
    </row>
    <row r="154" spans="1:16" x14ac:dyDescent="0.45">
      <c r="A154" s="155"/>
      <c r="B154" s="173"/>
      <c r="C154" s="155"/>
      <c r="D154" s="155"/>
      <c r="E154" s="157"/>
      <c r="F154" s="113"/>
      <c r="G154" s="113"/>
      <c r="H154" s="113"/>
      <c r="I154" s="158"/>
      <c r="J154" s="113"/>
      <c r="K154" s="113"/>
      <c r="L154" s="113"/>
      <c r="M154" s="113"/>
      <c r="N154" s="113"/>
      <c r="O154" s="113"/>
      <c r="P154" s="113"/>
    </row>
    <row r="155" spans="1:16" x14ac:dyDescent="0.45">
      <c r="A155" s="155"/>
      <c r="B155" s="173"/>
      <c r="C155" s="155"/>
      <c r="D155" s="155"/>
      <c r="E155" s="157"/>
      <c r="F155" s="113"/>
      <c r="G155" s="113"/>
      <c r="H155" s="113"/>
      <c r="I155" s="158"/>
      <c r="J155" s="113"/>
      <c r="K155" s="113"/>
      <c r="L155" s="113"/>
      <c r="M155" s="113"/>
      <c r="N155" s="113"/>
      <c r="O155" s="113"/>
      <c r="P155" s="113"/>
    </row>
    <row r="156" spans="1:16" x14ac:dyDescent="0.45">
      <c r="A156" s="155"/>
      <c r="B156" s="173"/>
      <c r="C156" s="155"/>
      <c r="D156" s="155"/>
      <c r="E156" s="157"/>
      <c r="F156" s="113"/>
      <c r="G156" s="113"/>
      <c r="H156" s="113"/>
      <c r="I156" s="158"/>
      <c r="J156" s="113"/>
      <c r="K156" s="113"/>
      <c r="L156" s="113"/>
      <c r="M156" s="113"/>
      <c r="N156" s="113"/>
      <c r="O156" s="113"/>
      <c r="P156" s="113"/>
    </row>
    <row r="157" spans="1:16" x14ac:dyDescent="0.45">
      <c r="A157" s="155"/>
      <c r="B157" s="173"/>
      <c r="C157" s="155"/>
      <c r="D157" s="155"/>
      <c r="E157" s="157"/>
      <c r="F157" s="113"/>
      <c r="G157" s="113"/>
      <c r="H157" s="113"/>
      <c r="I157" s="158"/>
      <c r="J157" s="113"/>
      <c r="K157" s="113"/>
      <c r="L157" s="113"/>
      <c r="M157" s="113"/>
      <c r="N157" s="113"/>
      <c r="O157" s="113"/>
      <c r="P157" s="113"/>
    </row>
    <row r="158" spans="1:16" x14ac:dyDescent="0.45">
      <c r="A158" s="155"/>
      <c r="B158" s="173"/>
      <c r="C158" s="155"/>
      <c r="D158" s="155"/>
      <c r="E158" s="157"/>
      <c r="F158" s="113"/>
      <c r="G158" s="113"/>
      <c r="H158" s="113"/>
      <c r="I158" s="158"/>
      <c r="J158" s="113"/>
      <c r="K158" s="113"/>
      <c r="L158" s="113"/>
      <c r="M158" s="113"/>
      <c r="N158" s="113"/>
      <c r="O158" s="113"/>
      <c r="P158" s="113"/>
    </row>
    <row r="159" spans="1:16" x14ac:dyDescent="0.45">
      <c r="A159" s="155"/>
      <c r="B159" s="173"/>
      <c r="C159" s="155"/>
      <c r="D159" s="155"/>
      <c r="E159" s="157"/>
      <c r="F159" s="113"/>
      <c r="G159" s="113"/>
      <c r="H159" s="113"/>
      <c r="I159" s="158"/>
      <c r="J159" s="113"/>
      <c r="K159" s="113"/>
      <c r="L159" s="113"/>
      <c r="M159" s="113"/>
      <c r="N159" s="113"/>
      <c r="O159" s="113"/>
      <c r="P159" s="113"/>
    </row>
    <row r="160" spans="1:16" x14ac:dyDescent="0.45">
      <c r="A160" s="155"/>
      <c r="B160" s="173"/>
      <c r="C160" s="155"/>
      <c r="D160" s="155"/>
      <c r="E160" s="157"/>
      <c r="F160" s="113"/>
      <c r="G160" s="113"/>
      <c r="H160" s="113"/>
      <c r="I160" s="158"/>
      <c r="J160" s="113"/>
      <c r="K160" s="113"/>
      <c r="L160" s="113"/>
      <c r="M160" s="113"/>
      <c r="N160" s="113"/>
      <c r="O160" s="113"/>
      <c r="P160" s="113"/>
    </row>
    <row r="161" spans="1:16" x14ac:dyDescent="0.45">
      <c r="A161" s="155"/>
      <c r="B161" s="173"/>
      <c r="C161" s="155"/>
      <c r="D161" s="155"/>
      <c r="E161" s="157"/>
      <c r="F161" s="113"/>
      <c r="G161" s="113"/>
      <c r="H161" s="113"/>
      <c r="I161" s="158"/>
      <c r="J161" s="113"/>
      <c r="K161" s="113"/>
      <c r="L161" s="113"/>
      <c r="M161" s="113"/>
      <c r="N161" s="113"/>
      <c r="O161" s="113"/>
      <c r="P161" s="113"/>
    </row>
    <row r="162" spans="1:16" x14ac:dyDescent="0.45">
      <c r="A162" s="155"/>
      <c r="B162" s="173"/>
      <c r="C162" s="155"/>
      <c r="D162" s="155"/>
      <c r="E162" s="157"/>
      <c r="F162" s="113"/>
      <c r="G162" s="113"/>
      <c r="H162" s="113"/>
      <c r="I162" s="158"/>
      <c r="J162" s="113"/>
      <c r="K162" s="113"/>
      <c r="L162" s="113"/>
      <c r="M162" s="113"/>
      <c r="N162" s="113"/>
      <c r="O162" s="113"/>
      <c r="P162" s="113"/>
    </row>
    <row r="163" spans="1:16" x14ac:dyDescent="0.45">
      <c r="A163" s="155"/>
      <c r="B163" s="173"/>
      <c r="C163" s="155"/>
      <c r="D163" s="155"/>
      <c r="E163" s="157"/>
      <c r="F163" s="113"/>
      <c r="G163" s="113"/>
      <c r="H163" s="113"/>
      <c r="I163" s="158"/>
      <c r="J163" s="113"/>
      <c r="K163" s="113"/>
      <c r="L163" s="113"/>
      <c r="M163" s="113"/>
      <c r="N163" s="113"/>
      <c r="O163" s="113"/>
      <c r="P163" s="113"/>
    </row>
    <row r="164" spans="1:16" x14ac:dyDescent="0.45">
      <c r="A164" s="155"/>
      <c r="B164" s="173"/>
      <c r="C164" s="155"/>
      <c r="D164" s="155"/>
      <c r="E164" s="157"/>
      <c r="F164" s="113"/>
      <c r="G164" s="113"/>
      <c r="H164" s="113"/>
      <c r="I164" s="158"/>
      <c r="J164" s="113"/>
      <c r="K164" s="113"/>
      <c r="L164" s="113"/>
      <c r="M164" s="113"/>
      <c r="N164" s="113"/>
      <c r="O164" s="113"/>
      <c r="P164" s="113"/>
    </row>
    <row r="165" spans="1:16" x14ac:dyDescent="0.45">
      <c r="A165" s="155"/>
      <c r="B165" s="173"/>
      <c r="C165" s="155"/>
      <c r="D165" s="155"/>
      <c r="E165" s="157"/>
      <c r="F165" s="113"/>
      <c r="G165" s="113"/>
      <c r="H165" s="113"/>
      <c r="I165" s="158"/>
      <c r="J165" s="113"/>
      <c r="K165" s="113"/>
      <c r="L165" s="113"/>
      <c r="M165" s="113"/>
      <c r="N165" s="113"/>
      <c r="O165" s="113"/>
      <c r="P165" s="113"/>
    </row>
    <row r="166" spans="1:16" x14ac:dyDescent="0.45">
      <c r="A166" s="155"/>
      <c r="B166" s="173"/>
      <c r="C166" s="155"/>
      <c r="D166" s="155"/>
      <c r="E166" s="157"/>
      <c r="F166" s="113"/>
      <c r="G166" s="113"/>
      <c r="H166" s="113"/>
      <c r="I166" s="158"/>
      <c r="J166" s="113"/>
      <c r="K166" s="113"/>
      <c r="L166" s="113"/>
      <c r="M166" s="113"/>
      <c r="N166" s="113"/>
      <c r="O166" s="113"/>
      <c r="P166" s="113"/>
    </row>
    <row r="167" spans="1:16" x14ac:dyDescent="0.45">
      <c r="A167" s="155"/>
      <c r="B167" s="173"/>
      <c r="C167" s="155"/>
      <c r="D167" s="155"/>
      <c r="E167" s="157"/>
      <c r="F167" s="113"/>
      <c r="G167" s="113"/>
      <c r="H167" s="113"/>
      <c r="I167" s="158"/>
      <c r="J167" s="113"/>
      <c r="K167" s="113"/>
      <c r="L167" s="113"/>
      <c r="M167" s="113"/>
      <c r="N167" s="113"/>
      <c r="O167" s="113"/>
      <c r="P167" s="113"/>
    </row>
    <row r="168" spans="1:16" x14ac:dyDescent="0.45">
      <c r="A168" s="155"/>
      <c r="B168" s="173"/>
      <c r="C168" s="155"/>
      <c r="D168" s="155"/>
      <c r="E168" s="157"/>
      <c r="F168" s="113"/>
      <c r="G168" s="113"/>
      <c r="H168" s="113"/>
      <c r="I168" s="158"/>
      <c r="J168" s="113"/>
      <c r="K168" s="113"/>
      <c r="L168" s="113"/>
      <c r="M168" s="113"/>
      <c r="N168" s="113"/>
      <c r="O168" s="113"/>
      <c r="P168" s="113"/>
    </row>
    <row r="169" spans="1:16" x14ac:dyDescent="0.45">
      <c r="A169" s="155"/>
      <c r="B169" s="173"/>
      <c r="C169" s="155"/>
      <c r="D169" s="155"/>
      <c r="E169" s="157"/>
      <c r="F169" s="113"/>
      <c r="G169" s="113"/>
      <c r="H169" s="113"/>
      <c r="I169" s="158"/>
      <c r="J169" s="113"/>
      <c r="K169" s="113"/>
      <c r="L169" s="113"/>
      <c r="M169" s="113"/>
      <c r="N169" s="113"/>
      <c r="O169" s="113"/>
      <c r="P169" s="113"/>
    </row>
    <row r="170" spans="1:16" x14ac:dyDescent="0.45">
      <c r="A170" s="155"/>
      <c r="B170" s="173"/>
      <c r="C170" s="155"/>
      <c r="D170" s="155"/>
      <c r="E170" s="157"/>
      <c r="F170" s="113"/>
      <c r="G170" s="113"/>
      <c r="H170" s="113"/>
      <c r="I170" s="158"/>
      <c r="J170" s="113"/>
      <c r="K170" s="113"/>
      <c r="L170" s="113"/>
      <c r="M170" s="113"/>
      <c r="N170" s="113"/>
      <c r="O170" s="113"/>
      <c r="P170" s="113"/>
    </row>
    <row r="171" spans="1:16" x14ac:dyDescent="0.45">
      <c r="A171" s="155"/>
      <c r="B171" s="173"/>
      <c r="C171" s="155"/>
      <c r="D171" s="155"/>
      <c r="E171" s="157"/>
      <c r="F171" s="113"/>
      <c r="G171" s="113"/>
      <c r="H171" s="113"/>
      <c r="I171" s="158"/>
      <c r="J171" s="113"/>
      <c r="K171" s="113"/>
      <c r="L171" s="113"/>
      <c r="M171" s="113"/>
      <c r="N171" s="113"/>
      <c r="O171" s="113"/>
      <c r="P171" s="113"/>
    </row>
    <row r="172" spans="1:16" x14ac:dyDescent="0.45">
      <c r="A172" s="155"/>
      <c r="B172" s="173"/>
      <c r="C172" s="155"/>
      <c r="D172" s="155"/>
      <c r="E172" s="157"/>
      <c r="F172" s="113"/>
      <c r="G172" s="113"/>
      <c r="H172" s="113"/>
      <c r="I172" s="158"/>
      <c r="J172" s="113"/>
      <c r="K172" s="113"/>
      <c r="L172" s="113"/>
      <c r="M172" s="113"/>
      <c r="N172" s="113"/>
      <c r="O172" s="113"/>
      <c r="P172" s="113"/>
    </row>
    <row r="173" spans="1:16" x14ac:dyDescent="0.45">
      <c r="A173" s="155"/>
      <c r="B173" s="173"/>
      <c r="C173" s="155"/>
      <c r="D173" s="155"/>
      <c r="E173" s="157"/>
      <c r="F173" s="113"/>
      <c r="G173" s="113"/>
      <c r="H173" s="113"/>
      <c r="I173" s="158"/>
      <c r="J173" s="113"/>
      <c r="K173" s="113"/>
      <c r="L173" s="113"/>
      <c r="M173" s="113"/>
      <c r="N173" s="113"/>
      <c r="O173" s="113"/>
      <c r="P173" s="113"/>
    </row>
    <row r="174" spans="1:16" x14ac:dyDescent="0.45">
      <c r="A174" s="155"/>
      <c r="B174" s="173"/>
      <c r="C174" s="155"/>
      <c r="D174" s="155"/>
      <c r="E174" s="157"/>
      <c r="F174" s="113"/>
      <c r="G174" s="113"/>
      <c r="H174" s="113"/>
      <c r="I174" s="158"/>
      <c r="J174" s="113"/>
      <c r="K174" s="113"/>
      <c r="L174" s="113"/>
      <c r="M174" s="113"/>
      <c r="N174" s="113"/>
      <c r="O174" s="113"/>
      <c r="P174" s="113"/>
    </row>
    <row r="175" spans="1:16" x14ac:dyDescent="0.45">
      <c r="A175" s="155"/>
      <c r="B175" s="173"/>
      <c r="C175" s="155"/>
      <c r="D175" s="155"/>
      <c r="E175" s="157"/>
      <c r="F175" s="113"/>
      <c r="G175" s="113"/>
      <c r="H175" s="113"/>
      <c r="I175" s="158"/>
      <c r="J175" s="113"/>
      <c r="K175" s="113"/>
      <c r="L175" s="113"/>
      <c r="M175" s="113"/>
      <c r="N175" s="113"/>
      <c r="O175" s="113"/>
      <c r="P175" s="113"/>
    </row>
    <row r="176" spans="1:16" x14ac:dyDescent="0.45">
      <c r="A176" s="155"/>
      <c r="B176" s="173"/>
      <c r="C176" s="155"/>
      <c r="D176" s="155"/>
      <c r="E176" s="157"/>
      <c r="F176" s="113"/>
      <c r="G176" s="113"/>
      <c r="H176" s="113"/>
      <c r="I176" s="158"/>
      <c r="J176" s="113"/>
      <c r="K176" s="113"/>
      <c r="L176" s="113"/>
      <c r="M176" s="113"/>
      <c r="N176" s="113"/>
      <c r="O176" s="113"/>
      <c r="P176" s="113"/>
    </row>
    <row r="177" spans="1:16" x14ac:dyDescent="0.45">
      <c r="A177" s="155"/>
      <c r="B177" s="173"/>
      <c r="C177" s="155"/>
      <c r="D177" s="155"/>
      <c r="E177" s="157"/>
      <c r="F177" s="113"/>
      <c r="G177" s="113"/>
      <c r="H177" s="113"/>
      <c r="I177" s="158"/>
      <c r="J177" s="113"/>
      <c r="K177" s="113"/>
      <c r="L177" s="113"/>
      <c r="M177" s="113"/>
      <c r="N177" s="113"/>
      <c r="O177" s="113"/>
      <c r="P177" s="113"/>
    </row>
    <row r="178" spans="1:16" x14ac:dyDescent="0.45">
      <c r="A178" s="155"/>
      <c r="B178" s="173"/>
      <c r="C178" s="155"/>
      <c r="D178" s="155"/>
      <c r="E178" s="157"/>
      <c r="F178" s="113"/>
      <c r="G178" s="113"/>
      <c r="H178" s="113"/>
      <c r="I178" s="158"/>
      <c r="J178" s="113"/>
      <c r="K178" s="113"/>
      <c r="L178" s="113"/>
      <c r="M178" s="113"/>
      <c r="N178" s="113"/>
      <c r="O178" s="113"/>
      <c r="P178" s="113"/>
    </row>
    <row r="179" spans="1:16" x14ac:dyDescent="0.45">
      <c r="A179" s="155"/>
      <c r="B179" s="173"/>
      <c r="C179" s="155"/>
      <c r="D179" s="155"/>
      <c r="E179" s="157"/>
      <c r="F179" s="113"/>
      <c r="G179" s="113"/>
      <c r="H179" s="113"/>
      <c r="I179" s="158"/>
      <c r="J179" s="113"/>
      <c r="K179" s="113"/>
      <c r="L179" s="113"/>
      <c r="M179" s="113"/>
      <c r="N179" s="113"/>
      <c r="O179" s="113"/>
      <c r="P179" s="113"/>
    </row>
    <row r="180" spans="1:16" x14ac:dyDescent="0.45">
      <c r="A180" s="155"/>
      <c r="B180" s="173"/>
      <c r="C180" s="155"/>
      <c r="D180" s="155"/>
      <c r="E180" s="157"/>
      <c r="F180" s="113"/>
      <c r="G180" s="113"/>
      <c r="H180" s="113"/>
      <c r="I180" s="158"/>
      <c r="J180" s="113"/>
      <c r="K180" s="113"/>
      <c r="L180" s="113"/>
      <c r="M180" s="113"/>
      <c r="N180" s="113"/>
      <c r="O180" s="113"/>
      <c r="P180" s="113"/>
    </row>
    <row r="181" spans="1:16" x14ac:dyDescent="0.45">
      <c r="A181" s="155"/>
      <c r="B181" s="173"/>
      <c r="C181" s="155"/>
      <c r="D181" s="155"/>
      <c r="E181" s="157"/>
      <c r="F181" s="113"/>
      <c r="G181" s="113"/>
      <c r="H181" s="113"/>
      <c r="I181" s="158"/>
      <c r="J181" s="113"/>
      <c r="K181" s="113"/>
      <c r="L181" s="113"/>
      <c r="M181" s="113"/>
      <c r="N181" s="113"/>
      <c r="O181" s="113"/>
      <c r="P181" s="113"/>
    </row>
    <row r="182" spans="1:16" x14ac:dyDescent="0.45">
      <c r="A182" s="155"/>
      <c r="B182" s="173"/>
      <c r="C182" s="155"/>
      <c r="D182" s="155"/>
      <c r="E182" s="157"/>
      <c r="F182" s="113"/>
      <c r="G182" s="113"/>
      <c r="H182" s="113"/>
      <c r="I182" s="158"/>
      <c r="J182" s="113"/>
      <c r="K182" s="113"/>
      <c r="L182" s="113"/>
      <c r="M182" s="113"/>
      <c r="N182" s="113"/>
      <c r="O182" s="113"/>
      <c r="P182" s="113"/>
    </row>
    <row r="183" spans="1:16" x14ac:dyDescent="0.45">
      <c r="A183" s="155"/>
      <c r="B183" s="173"/>
      <c r="C183" s="155"/>
      <c r="D183" s="155"/>
      <c r="E183" s="157"/>
      <c r="F183" s="113"/>
      <c r="G183" s="113"/>
      <c r="H183" s="113"/>
      <c r="I183" s="158"/>
      <c r="J183" s="113"/>
      <c r="K183" s="113"/>
      <c r="L183" s="113"/>
      <c r="M183" s="113"/>
      <c r="N183" s="113"/>
      <c r="O183" s="113"/>
      <c r="P183" s="113"/>
    </row>
    <row r="184" spans="1:16" x14ac:dyDescent="0.45">
      <c r="A184" s="155"/>
      <c r="B184" s="173"/>
      <c r="C184" s="155"/>
      <c r="D184" s="155"/>
      <c r="E184" s="157"/>
      <c r="F184" s="113"/>
      <c r="G184" s="113"/>
      <c r="H184" s="113"/>
      <c r="I184" s="158"/>
      <c r="J184" s="113"/>
      <c r="K184" s="113"/>
      <c r="L184" s="113"/>
      <c r="M184" s="113"/>
      <c r="N184" s="113"/>
      <c r="O184" s="113"/>
      <c r="P184" s="113"/>
    </row>
    <row r="185" spans="1:16" x14ac:dyDescent="0.45">
      <c r="A185" s="155"/>
      <c r="B185" s="173"/>
      <c r="C185" s="155"/>
      <c r="D185" s="155"/>
      <c r="E185" s="157"/>
      <c r="F185" s="113"/>
      <c r="G185" s="113"/>
      <c r="H185" s="113"/>
      <c r="I185" s="158"/>
      <c r="J185" s="113"/>
      <c r="K185" s="113"/>
      <c r="L185" s="113"/>
      <c r="M185" s="113"/>
      <c r="N185" s="113"/>
      <c r="O185" s="113"/>
      <c r="P185" s="113"/>
    </row>
    <row r="186" spans="1:16" x14ac:dyDescent="0.45">
      <c r="A186" s="155"/>
      <c r="B186" s="173"/>
      <c r="C186" s="155"/>
      <c r="D186" s="155"/>
      <c r="E186" s="157"/>
      <c r="F186" s="113"/>
      <c r="G186" s="113"/>
      <c r="H186" s="113"/>
      <c r="I186" s="158"/>
      <c r="J186" s="113"/>
      <c r="K186" s="113"/>
      <c r="L186" s="113"/>
      <c r="M186" s="113"/>
      <c r="N186" s="113"/>
      <c r="O186" s="113"/>
      <c r="P186" s="113"/>
    </row>
    <row r="187" spans="1:16" x14ac:dyDescent="0.45">
      <c r="A187" s="155"/>
      <c r="B187" s="173"/>
      <c r="C187" s="155"/>
      <c r="D187" s="155"/>
      <c r="E187" s="157"/>
      <c r="F187" s="113"/>
      <c r="G187" s="113"/>
      <c r="H187" s="113"/>
      <c r="I187" s="158"/>
      <c r="J187" s="113"/>
      <c r="K187" s="113"/>
      <c r="L187" s="113"/>
      <c r="M187" s="113"/>
      <c r="N187" s="113"/>
      <c r="O187" s="113"/>
      <c r="P187" s="113"/>
    </row>
    <row r="188" spans="1:16" x14ac:dyDescent="0.45">
      <c r="A188" s="155"/>
      <c r="B188" s="173"/>
      <c r="C188" s="155"/>
      <c r="D188" s="155"/>
      <c r="E188" s="157"/>
      <c r="F188" s="113"/>
      <c r="G188" s="113"/>
      <c r="H188" s="113"/>
      <c r="I188" s="158"/>
      <c r="J188" s="113"/>
      <c r="K188" s="113"/>
      <c r="L188" s="113"/>
      <c r="M188" s="113"/>
      <c r="N188" s="113"/>
      <c r="O188" s="113"/>
      <c r="P188" s="113"/>
    </row>
    <row r="189" spans="1:16" x14ac:dyDescent="0.45">
      <c r="A189" s="155"/>
      <c r="B189" s="173"/>
      <c r="C189" s="155"/>
      <c r="D189" s="155"/>
      <c r="E189" s="157"/>
      <c r="F189" s="113"/>
      <c r="G189" s="113"/>
      <c r="H189" s="113"/>
      <c r="I189" s="158"/>
      <c r="J189" s="113"/>
      <c r="K189" s="113"/>
      <c r="L189" s="113"/>
      <c r="M189" s="113"/>
      <c r="N189" s="113"/>
      <c r="O189" s="113"/>
      <c r="P189" s="113"/>
    </row>
    <row r="190" spans="1:16" x14ac:dyDescent="0.45">
      <c r="A190" s="155"/>
      <c r="B190" s="173"/>
      <c r="C190" s="155"/>
      <c r="D190" s="155"/>
      <c r="E190" s="157"/>
      <c r="F190" s="113"/>
      <c r="G190" s="113"/>
      <c r="H190" s="113"/>
      <c r="I190" s="158"/>
      <c r="J190" s="113"/>
      <c r="K190" s="113"/>
      <c r="L190" s="113"/>
      <c r="M190" s="113"/>
      <c r="N190" s="113"/>
      <c r="O190" s="113"/>
      <c r="P190" s="113"/>
    </row>
    <row r="191" spans="1:16" x14ac:dyDescent="0.45">
      <c r="A191" s="155"/>
      <c r="B191" s="173"/>
      <c r="C191" s="155"/>
      <c r="D191" s="155"/>
      <c r="E191" s="157"/>
      <c r="F191" s="113"/>
      <c r="G191" s="113"/>
      <c r="H191" s="113"/>
      <c r="I191" s="158"/>
      <c r="J191" s="113"/>
      <c r="K191" s="113"/>
      <c r="L191" s="113"/>
      <c r="M191" s="113"/>
      <c r="N191" s="113"/>
      <c r="O191" s="113"/>
      <c r="P191" s="113"/>
    </row>
    <row r="192" spans="1:16" x14ac:dyDescent="0.45">
      <c r="A192" s="155"/>
      <c r="B192" s="173"/>
      <c r="C192" s="155"/>
      <c r="D192" s="155"/>
      <c r="E192" s="157"/>
      <c r="F192" s="113"/>
      <c r="G192" s="113"/>
      <c r="H192" s="113"/>
      <c r="I192" s="158"/>
      <c r="J192" s="113"/>
      <c r="K192" s="113"/>
      <c r="L192" s="113"/>
      <c r="M192" s="113"/>
      <c r="N192" s="113"/>
      <c r="O192" s="113"/>
      <c r="P192" s="113"/>
    </row>
    <row r="193" spans="1:16" x14ac:dyDescent="0.45">
      <c r="A193" s="155"/>
      <c r="B193" s="173"/>
      <c r="C193" s="155"/>
      <c r="D193" s="155"/>
      <c r="E193" s="157"/>
      <c r="F193" s="113"/>
      <c r="G193" s="113"/>
      <c r="H193" s="113"/>
      <c r="I193" s="158"/>
      <c r="J193" s="113"/>
      <c r="K193" s="113"/>
      <c r="L193" s="113"/>
      <c r="M193" s="113"/>
      <c r="N193" s="113"/>
      <c r="O193" s="113"/>
      <c r="P193" s="113"/>
    </row>
    <row r="194" spans="1:16" x14ac:dyDescent="0.45">
      <c r="A194" s="155"/>
      <c r="B194" s="173"/>
      <c r="C194" s="155"/>
      <c r="D194" s="155"/>
      <c r="E194" s="157"/>
      <c r="F194" s="113"/>
      <c r="G194" s="113"/>
      <c r="H194" s="113"/>
      <c r="I194" s="158"/>
      <c r="J194" s="113"/>
      <c r="K194" s="113"/>
      <c r="L194" s="113"/>
      <c r="M194" s="113"/>
      <c r="N194" s="113"/>
      <c r="O194" s="113"/>
      <c r="P194" s="113"/>
    </row>
    <row r="195" spans="1:16" x14ac:dyDescent="0.45">
      <c r="A195" s="155"/>
      <c r="B195" s="173"/>
      <c r="C195" s="155"/>
      <c r="D195" s="155"/>
      <c r="E195" s="157"/>
      <c r="F195" s="113"/>
      <c r="G195" s="113"/>
      <c r="H195" s="113"/>
      <c r="I195" s="158"/>
      <c r="J195" s="113"/>
      <c r="K195" s="113"/>
      <c r="L195" s="113"/>
      <c r="M195" s="113"/>
      <c r="N195" s="113"/>
      <c r="O195" s="113"/>
      <c r="P195" s="113"/>
    </row>
    <row r="196" spans="1:16" x14ac:dyDescent="0.45">
      <c r="A196" s="155"/>
      <c r="B196" s="173"/>
      <c r="C196" s="155"/>
      <c r="D196" s="155"/>
      <c r="E196" s="157"/>
      <c r="F196" s="113"/>
      <c r="G196" s="113"/>
      <c r="H196" s="113"/>
      <c r="I196" s="158"/>
      <c r="J196" s="113"/>
      <c r="K196" s="113"/>
      <c r="L196" s="113"/>
      <c r="M196" s="113"/>
      <c r="N196" s="113"/>
      <c r="O196" s="113"/>
      <c r="P196" s="113"/>
    </row>
    <row r="197" spans="1:16" x14ac:dyDescent="0.45">
      <c r="A197" s="155"/>
      <c r="B197" s="173"/>
      <c r="C197" s="155"/>
      <c r="D197" s="155"/>
      <c r="E197" s="157"/>
      <c r="F197" s="113"/>
      <c r="G197" s="113"/>
      <c r="H197" s="113"/>
      <c r="I197" s="158"/>
      <c r="J197" s="113"/>
      <c r="K197" s="113"/>
      <c r="L197" s="113"/>
      <c r="M197" s="113"/>
      <c r="N197" s="113"/>
      <c r="O197" s="113"/>
      <c r="P197" s="113"/>
    </row>
    <row r="198" spans="1:16" x14ac:dyDescent="0.45">
      <c r="A198" s="155"/>
      <c r="B198" s="173"/>
      <c r="C198" s="155"/>
      <c r="D198" s="155"/>
      <c r="E198" s="157"/>
      <c r="F198" s="113"/>
      <c r="G198" s="113"/>
      <c r="H198" s="113"/>
      <c r="I198" s="158"/>
      <c r="J198" s="113"/>
      <c r="K198" s="113"/>
      <c r="L198" s="113"/>
      <c r="M198" s="113"/>
      <c r="N198" s="113"/>
      <c r="O198" s="113"/>
      <c r="P198" s="113"/>
    </row>
    <row r="199" spans="1:16" x14ac:dyDescent="0.45">
      <c r="A199" s="155"/>
      <c r="B199" s="173"/>
      <c r="C199" s="155"/>
      <c r="D199" s="155"/>
      <c r="E199" s="157"/>
      <c r="F199" s="113"/>
      <c r="G199" s="113"/>
      <c r="H199" s="113"/>
      <c r="I199" s="158"/>
      <c r="J199" s="113"/>
      <c r="K199" s="113"/>
      <c r="L199" s="113"/>
      <c r="M199" s="113"/>
      <c r="N199" s="113"/>
      <c r="O199" s="113"/>
      <c r="P199" s="113"/>
    </row>
    <row r="200" spans="1:16" x14ac:dyDescent="0.45">
      <c r="A200" s="155"/>
      <c r="B200" s="173"/>
      <c r="C200" s="155"/>
      <c r="D200" s="155"/>
      <c r="E200" s="157"/>
      <c r="F200" s="113"/>
      <c r="G200" s="113"/>
      <c r="H200" s="113"/>
      <c r="I200" s="158"/>
      <c r="J200" s="113"/>
      <c r="K200" s="113"/>
      <c r="L200" s="113"/>
      <c r="M200" s="113"/>
      <c r="N200" s="113"/>
      <c r="O200" s="113"/>
      <c r="P200" s="113"/>
    </row>
    <row r="201" spans="1:16" x14ac:dyDescent="0.45">
      <c r="A201" s="155"/>
      <c r="B201" s="173"/>
      <c r="C201" s="155"/>
      <c r="D201" s="155"/>
      <c r="E201" s="157"/>
      <c r="F201" s="113"/>
      <c r="G201" s="113"/>
      <c r="H201" s="113"/>
      <c r="I201" s="158"/>
      <c r="J201" s="113"/>
      <c r="K201" s="113"/>
      <c r="L201" s="113"/>
      <c r="M201" s="113"/>
      <c r="N201" s="113"/>
      <c r="O201" s="113"/>
      <c r="P201" s="113"/>
    </row>
    <row r="202" spans="1:16" x14ac:dyDescent="0.45">
      <c r="A202" s="155"/>
      <c r="B202" s="173"/>
      <c r="C202" s="155"/>
      <c r="D202" s="155"/>
      <c r="E202" s="157"/>
      <c r="F202" s="113"/>
      <c r="G202" s="113"/>
      <c r="H202" s="113"/>
      <c r="I202" s="158"/>
      <c r="J202" s="113"/>
      <c r="K202" s="113"/>
      <c r="L202" s="113"/>
      <c r="M202" s="113"/>
      <c r="N202" s="113"/>
      <c r="O202" s="113"/>
      <c r="P202" s="113"/>
    </row>
    <row r="203" spans="1:16" x14ac:dyDescent="0.45">
      <c r="A203" s="155"/>
      <c r="B203" s="173"/>
      <c r="C203" s="155"/>
      <c r="D203" s="155"/>
      <c r="E203" s="157"/>
      <c r="F203" s="113"/>
      <c r="G203" s="113"/>
      <c r="H203" s="113"/>
      <c r="I203" s="158"/>
      <c r="J203" s="113"/>
      <c r="K203" s="113"/>
      <c r="L203" s="113"/>
      <c r="M203" s="113"/>
      <c r="N203" s="113"/>
      <c r="O203" s="113"/>
      <c r="P203" s="113"/>
    </row>
    <row r="204" spans="1:16" x14ac:dyDescent="0.45">
      <c r="A204" s="155"/>
      <c r="B204" s="173"/>
      <c r="C204" s="155"/>
      <c r="D204" s="155"/>
      <c r="E204" s="157"/>
      <c r="F204" s="113"/>
      <c r="G204" s="113"/>
      <c r="H204" s="113"/>
      <c r="I204" s="158"/>
      <c r="J204" s="113"/>
      <c r="K204" s="113"/>
      <c r="L204" s="113"/>
      <c r="M204" s="113"/>
      <c r="N204" s="113"/>
      <c r="O204" s="113"/>
      <c r="P204" s="113"/>
    </row>
    <row r="205" spans="1:16" x14ac:dyDescent="0.45">
      <c r="A205" s="155"/>
      <c r="B205" s="173"/>
      <c r="C205" s="155"/>
      <c r="D205" s="155"/>
      <c r="E205" s="157"/>
      <c r="F205" s="113"/>
      <c r="G205" s="113"/>
      <c r="H205" s="113"/>
      <c r="I205" s="158"/>
      <c r="J205" s="113"/>
      <c r="K205" s="113"/>
      <c r="L205" s="113"/>
      <c r="M205" s="113"/>
      <c r="N205" s="113"/>
      <c r="O205" s="113"/>
      <c r="P205" s="113"/>
    </row>
    <row r="206" spans="1:16" x14ac:dyDescent="0.45">
      <c r="A206" s="155"/>
      <c r="B206" s="173"/>
      <c r="C206" s="155"/>
      <c r="D206" s="155"/>
      <c r="E206" s="157"/>
      <c r="F206" s="113"/>
      <c r="G206" s="113"/>
      <c r="H206" s="113"/>
      <c r="I206" s="158"/>
      <c r="J206" s="113"/>
      <c r="K206" s="113"/>
      <c r="L206" s="113"/>
      <c r="M206" s="113"/>
      <c r="N206" s="113"/>
      <c r="O206" s="113"/>
      <c r="P206" s="113"/>
    </row>
    <row r="207" spans="1:16" x14ac:dyDescent="0.45">
      <c r="A207" s="155"/>
      <c r="B207" s="173"/>
      <c r="C207" s="155"/>
      <c r="D207" s="155"/>
      <c r="E207" s="157"/>
      <c r="F207" s="113"/>
      <c r="G207" s="113"/>
      <c r="H207" s="113"/>
      <c r="I207" s="158"/>
      <c r="J207" s="113"/>
      <c r="K207" s="113"/>
      <c r="L207" s="113"/>
      <c r="M207" s="113"/>
      <c r="N207" s="113"/>
      <c r="O207" s="113"/>
      <c r="P207" s="113"/>
    </row>
    <row r="208" spans="1:16" x14ac:dyDescent="0.45">
      <c r="A208" s="155"/>
      <c r="B208" s="173"/>
      <c r="C208" s="155"/>
      <c r="D208" s="155"/>
      <c r="E208" s="157"/>
      <c r="F208" s="113"/>
      <c r="G208" s="113"/>
      <c r="H208" s="113"/>
      <c r="I208" s="158"/>
      <c r="J208" s="113"/>
      <c r="K208" s="113"/>
      <c r="L208" s="113"/>
      <c r="M208" s="113"/>
      <c r="N208" s="113"/>
      <c r="O208" s="113"/>
      <c r="P208" s="113"/>
    </row>
    <row r="209" spans="1:16" x14ac:dyDescent="0.45">
      <c r="A209" s="155"/>
      <c r="B209" s="173"/>
      <c r="C209" s="155"/>
      <c r="D209" s="155"/>
      <c r="E209" s="157"/>
      <c r="F209" s="113"/>
      <c r="G209" s="113"/>
      <c r="H209" s="113"/>
      <c r="I209" s="158"/>
      <c r="J209" s="113"/>
      <c r="K209" s="113"/>
      <c r="L209" s="113"/>
      <c r="M209" s="113"/>
      <c r="N209" s="113"/>
      <c r="O209" s="113"/>
      <c r="P209" s="113"/>
    </row>
    <row r="210" spans="1:16" x14ac:dyDescent="0.45">
      <c r="A210" s="155"/>
      <c r="B210" s="173"/>
      <c r="C210" s="155"/>
      <c r="D210" s="155"/>
      <c r="E210" s="157"/>
      <c r="F210" s="113"/>
      <c r="G210" s="113"/>
      <c r="H210" s="113"/>
      <c r="I210" s="158"/>
      <c r="J210" s="113"/>
      <c r="K210" s="113"/>
      <c r="L210" s="113"/>
      <c r="M210" s="113"/>
      <c r="N210" s="113"/>
      <c r="O210" s="113"/>
      <c r="P210" s="113"/>
    </row>
    <row r="211" spans="1:16" x14ac:dyDescent="0.45">
      <c r="A211" s="155"/>
      <c r="B211" s="173"/>
      <c r="C211" s="155"/>
      <c r="D211" s="155"/>
      <c r="E211" s="157"/>
      <c r="F211" s="113"/>
      <c r="G211" s="113"/>
      <c r="H211" s="113"/>
      <c r="I211" s="158"/>
      <c r="J211" s="113"/>
      <c r="K211" s="113"/>
      <c r="L211" s="113"/>
      <c r="M211" s="113"/>
      <c r="N211" s="113"/>
      <c r="O211" s="113"/>
      <c r="P211" s="113"/>
    </row>
    <row r="212" spans="1:16" x14ac:dyDescent="0.45">
      <c r="A212" s="155"/>
      <c r="B212" s="173"/>
      <c r="C212" s="155"/>
      <c r="D212" s="155"/>
      <c r="E212" s="157"/>
      <c r="F212" s="113"/>
      <c r="G212" s="113"/>
      <c r="H212" s="113"/>
      <c r="I212" s="158"/>
      <c r="J212" s="113"/>
      <c r="K212" s="113"/>
      <c r="L212" s="113"/>
      <c r="M212" s="113"/>
      <c r="N212" s="113"/>
      <c r="O212" s="113"/>
      <c r="P212" s="113"/>
    </row>
    <row r="213" spans="1:16" x14ac:dyDescent="0.45">
      <c r="A213" s="155"/>
      <c r="B213" s="173"/>
      <c r="C213" s="155"/>
      <c r="D213" s="155"/>
      <c r="E213" s="157"/>
      <c r="F213" s="113"/>
      <c r="G213" s="113"/>
      <c r="H213" s="113"/>
      <c r="I213" s="158"/>
      <c r="J213" s="113"/>
      <c r="K213" s="113"/>
      <c r="L213" s="113"/>
      <c r="M213" s="113"/>
      <c r="N213" s="113"/>
      <c r="O213" s="113"/>
      <c r="P213" s="113"/>
    </row>
    <row r="214" spans="1:16" x14ac:dyDescent="0.45">
      <c r="A214" s="155"/>
      <c r="B214" s="173"/>
      <c r="C214" s="155"/>
      <c r="D214" s="155"/>
      <c r="E214" s="157"/>
      <c r="F214" s="113"/>
      <c r="G214" s="113"/>
      <c r="H214" s="113"/>
      <c r="I214" s="158"/>
      <c r="J214" s="113"/>
      <c r="K214" s="113"/>
      <c r="L214" s="113"/>
      <c r="M214" s="113"/>
      <c r="N214" s="113"/>
      <c r="O214" s="113"/>
      <c r="P214" s="113"/>
    </row>
    <row r="215" spans="1:16" x14ac:dyDescent="0.45">
      <c r="A215" s="155"/>
      <c r="B215" s="173"/>
      <c r="C215" s="155"/>
      <c r="D215" s="155"/>
      <c r="E215" s="157"/>
      <c r="F215" s="113"/>
      <c r="G215" s="113"/>
      <c r="H215" s="113"/>
      <c r="I215" s="158"/>
      <c r="J215" s="113"/>
      <c r="K215" s="113"/>
      <c r="L215" s="113"/>
      <c r="M215" s="113"/>
      <c r="N215" s="113"/>
      <c r="O215" s="113"/>
      <c r="P215" s="113"/>
    </row>
    <row r="216" spans="1:16" x14ac:dyDescent="0.45">
      <c r="A216" s="155"/>
      <c r="B216" s="173"/>
      <c r="C216" s="155"/>
      <c r="D216" s="155"/>
      <c r="E216" s="157"/>
      <c r="F216" s="113"/>
      <c r="G216" s="113"/>
      <c r="H216" s="113"/>
      <c r="I216" s="158"/>
      <c r="J216" s="113"/>
      <c r="K216" s="113"/>
      <c r="L216" s="113"/>
      <c r="M216" s="113"/>
      <c r="N216" s="113"/>
      <c r="O216" s="113"/>
      <c r="P216" s="113"/>
    </row>
    <row r="217" spans="1:16" x14ac:dyDescent="0.45">
      <c r="A217" s="155"/>
      <c r="B217" s="173"/>
      <c r="C217" s="155"/>
      <c r="D217" s="155"/>
      <c r="E217" s="157"/>
      <c r="F217" s="113"/>
      <c r="G217" s="113"/>
      <c r="H217" s="113"/>
      <c r="I217" s="158"/>
      <c r="J217" s="113"/>
      <c r="K217" s="113"/>
      <c r="L217" s="113"/>
      <c r="M217" s="113"/>
      <c r="N217" s="113"/>
      <c r="O217" s="113"/>
      <c r="P217" s="113"/>
    </row>
    <row r="218" spans="1:16" x14ac:dyDescent="0.45">
      <c r="A218" s="155"/>
      <c r="B218" s="173"/>
      <c r="C218" s="155"/>
      <c r="D218" s="155"/>
      <c r="E218" s="157"/>
      <c r="F218" s="113"/>
      <c r="G218" s="113"/>
      <c r="H218" s="113"/>
      <c r="I218" s="158"/>
      <c r="J218" s="113"/>
      <c r="K218" s="113"/>
      <c r="L218" s="113"/>
      <c r="M218" s="113"/>
      <c r="N218" s="113"/>
      <c r="O218" s="113"/>
      <c r="P218" s="113"/>
    </row>
    <row r="219" spans="1:16" x14ac:dyDescent="0.45">
      <c r="A219" s="155"/>
      <c r="B219" s="173"/>
      <c r="C219" s="155"/>
      <c r="D219" s="155"/>
      <c r="E219" s="157"/>
      <c r="F219" s="113"/>
      <c r="G219" s="113"/>
      <c r="H219" s="113"/>
      <c r="I219" s="158"/>
      <c r="J219" s="113"/>
      <c r="K219" s="113"/>
      <c r="L219" s="113"/>
      <c r="M219" s="113"/>
      <c r="N219" s="113"/>
      <c r="O219" s="113"/>
      <c r="P219" s="113"/>
    </row>
    <row r="220" spans="1:16" x14ac:dyDescent="0.45">
      <c r="A220" s="155"/>
      <c r="B220" s="173"/>
      <c r="C220" s="155"/>
      <c r="D220" s="155"/>
      <c r="E220" s="157"/>
      <c r="F220" s="113"/>
      <c r="G220" s="113"/>
      <c r="H220" s="113"/>
      <c r="I220" s="158"/>
      <c r="J220" s="113"/>
      <c r="K220" s="113"/>
      <c r="L220" s="113"/>
      <c r="M220" s="113"/>
      <c r="N220" s="113"/>
      <c r="O220" s="113"/>
      <c r="P220" s="113"/>
    </row>
    <row r="221" spans="1:16" x14ac:dyDescent="0.45">
      <c r="A221" s="155"/>
      <c r="B221" s="173"/>
      <c r="C221" s="155"/>
      <c r="D221" s="155"/>
      <c r="E221" s="157"/>
      <c r="F221" s="113"/>
      <c r="G221" s="113"/>
      <c r="H221" s="113"/>
      <c r="I221" s="158"/>
      <c r="J221" s="113"/>
      <c r="K221" s="113"/>
      <c r="L221" s="113"/>
      <c r="M221" s="113"/>
      <c r="N221" s="113"/>
      <c r="O221" s="113"/>
      <c r="P221" s="113"/>
    </row>
    <row r="222" spans="1:16" x14ac:dyDescent="0.45">
      <c r="A222" s="155"/>
      <c r="B222" s="173"/>
      <c r="C222" s="155"/>
      <c r="D222" s="155"/>
      <c r="E222" s="157"/>
      <c r="F222" s="113"/>
      <c r="G222" s="113"/>
      <c r="H222" s="113"/>
      <c r="I222" s="158"/>
      <c r="J222" s="113"/>
      <c r="K222" s="113"/>
      <c r="L222" s="113"/>
      <c r="M222" s="113"/>
      <c r="N222" s="113"/>
      <c r="O222" s="113"/>
      <c r="P222" s="113"/>
    </row>
    <row r="223" spans="1:16" x14ac:dyDescent="0.45">
      <c r="A223" s="155"/>
      <c r="B223" s="173"/>
      <c r="C223" s="155"/>
      <c r="D223" s="155"/>
      <c r="E223" s="157"/>
      <c r="F223" s="113"/>
      <c r="G223" s="113"/>
      <c r="H223" s="113"/>
      <c r="I223" s="158"/>
      <c r="J223" s="113"/>
      <c r="K223" s="113"/>
      <c r="L223" s="113"/>
      <c r="M223" s="113"/>
      <c r="N223" s="113"/>
      <c r="O223" s="113"/>
      <c r="P223" s="113"/>
    </row>
    <row r="224" spans="1:16" x14ac:dyDescent="0.45">
      <c r="A224" s="155"/>
      <c r="B224" s="173"/>
      <c r="C224" s="155"/>
      <c r="D224" s="155"/>
      <c r="E224" s="157"/>
      <c r="F224" s="113"/>
      <c r="G224" s="113"/>
      <c r="H224" s="113"/>
      <c r="I224" s="158"/>
      <c r="J224" s="113"/>
      <c r="K224" s="113"/>
      <c r="L224" s="113"/>
      <c r="M224" s="113"/>
      <c r="N224" s="113"/>
      <c r="O224" s="113"/>
      <c r="P224" s="113"/>
    </row>
    <row r="225" spans="1:16" x14ac:dyDescent="0.45">
      <c r="A225" s="155"/>
      <c r="B225" s="173"/>
      <c r="C225" s="155"/>
      <c r="D225" s="155"/>
      <c r="E225" s="157"/>
      <c r="F225" s="113"/>
      <c r="G225" s="113"/>
      <c r="H225" s="113"/>
      <c r="I225" s="158"/>
      <c r="J225" s="113"/>
      <c r="K225" s="113"/>
      <c r="L225" s="113"/>
      <c r="M225" s="113"/>
      <c r="N225" s="113"/>
      <c r="O225" s="113"/>
      <c r="P225" s="113"/>
    </row>
    <row r="226" spans="1:16" x14ac:dyDescent="0.45">
      <c r="A226" s="155"/>
      <c r="B226" s="173"/>
      <c r="C226" s="155"/>
      <c r="D226" s="155"/>
      <c r="E226" s="157"/>
      <c r="F226" s="113"/>
      <c r="G226" s="113"/>
      <c r="H226" s="113"/>
      <c r="I226" s="158"/>
      <c r="J226" s="113"/>
      <c r="K226" s="113"/>
      <c r="L226" s="113"/>
      <c r="M226" s="113"/>
      <c r="N226" s="113"/>
      <c r="O226" s="113"/>
      <c r="P226" s="113"/>
    </row>
    <row r="227" spans="1:16" x14ac:dyDescent="0.45">
      <c r="A227" s="155"/>
      <c r="B227" s="173"/>
      <c r="C227" s="155"/>
      <c r="D227" s="155"/>
      <c r="E227" s="157"/>
      <c r="F227" s="113"/>
      <c r="G227" s="113"/>
      <c r="H227" s="113"/>
      <c r="I227" s="158"/>
      <c r="J227" s="113"/>
      <c r="K227" s="113"/>
      <c r="L227" s="113"/>
      <c r="M227" s="113"/>
      <c r="N227" s="113"/>
      <c r="O227" s="113"/>
      <c r="P227" s="113"/>
    </row>
    <row r="228" spans="1:16" x14ac:dyDescent="0.45">
      <c r="A228" s="155"/>
      <c r="B228" s="173"/>
      <c r="C228" s="155"/>
      <c r="D228" s="155"/>
      <c r="E228" s="157"/>
      <c r="F228" s="113"/>
      <c r="G228" s="113"/>
      <c r="H228" s="113"/>
      <c r="I228" s="158"/>
      <c r="J228" s="113"/>
      <c r="K228" s="113"/>
      <c r="L228" s="113"/>
      <c r="M228" s="113"/>
      <c r="N228" s="113"/>
      <c r="O228" s="113"/>
      <c r="P228" s="113"/>
    </row>
    <row r="229" spans="1:16" x14ac:dyDescent="0.45">
      <c r="A229" s="155"/>
      <c r="B229" s="173"/>
      <c r="C229" s="155"/>
      <c r="D229" s="155"/>
      <c r="E229" s="157"/>
      <c r="F229" s="113"/>
      <c r="G229" s="113"/>
      <c r="H229" s="113"/>
      <c r="I229" s="158"/>
      <c r="J229" s="113"/>
      <c r="K229" s="113"/>
      <c r="L229" s="113"/>
      <c r="M229" s="113"/>
      <c r="N229" s="113"/>
      <c r="O229" s="113"/>
      <c r="P229" s="113"/>
    </row>
    <row r="230" spans="1:16" x14ac:dyDescent="0.45">
      <c r="A230" s="155"/>
      <c r="B230" s="173"/>
      <c r="C230" s="155"/>
      <c r="D230" s="155"/>
      <c r="E230" s="157"/>
      <c r="F230" s="113"/>
      <c r="G230" s="113"/>
      <c r="H230" s="113"/>
      <c r="I230" s="158"/>
      <c r="J230" s="113"/>
      <c r="K230" s="113"/>
      <c r="L230" s="113"/>
      <c r="M230" s="113"/>
      <c r="N230" s="113"/>
      <c r="O230" s="113"/>
      <c r="P230" s="113"/>
    </row>
    <row r="231" spans="1:16" x14ac:dyDescent="0.45">
      <c r="A231" s="155"/>
      <c r="B231" s="173"/>
      <c r="C231" s="155"/>
      <c r="D231" s="155"/>
      <c r="E231" s="157"/>
      <c r="F231" s="113"/>
      <c r="G231" s="113"/>
      <c r="H231" s="113"/>
      <c r="I231" s="158"/>
      <c r="J231" s="113"/>
      <c r="K231" s="113"/>
      <c r="L231" s="113"/>
      <c r="M231" s="113"/>
      <c r="N231" s="113"/>
      <c r="O231" s="113"/>
      <c r="P231" s="113"/>
    </row>
    <row r="232" spans="1:16" x14ac:dyDescent="0.45">
      <c r="A232" s="155"/>
      <c r="B232" s="173"/>
      <c r="C232" s="155"/>
      <c r="D232" s="155"/>
      <c r="E232" s="157"/>
      <c r="F232" s="113"/>
      <c r="G232" s="113"/>
      <c r="H232" s="113"/>
      <c r="I232" s="158"/>
      <c r="J232" s="113"/>
      <c r="K232" s="113"/>
      <c r="L232" s="113"/>
      <c r="M232" s="113"/>
      <c r="N232" s="113"/>
      <c r="O232" s="113"/>
      <c r="P232" s="113"/>
    </row>
    <row r="233" spans="1:16" x14ac:dyDescent="0.45">
      <c r="A233" s="155"/>
      <c r="B233" s="173"/>
      <c r="C233" s="155"/>
      <c r="D233" s="155"/>
      <c r="E233" s="157"/>
      <c r="F233" s="113"/>
      <c r="G233" s="113"/>
      <c r="H233" s="113"/>
      <c r="I233" s="158"/>
      <c r="J233" s="113"/>
      <c r="K233" s="113"/>
      <c r="L233" s="113"/>
      <c r="M233" s="113"/>
      <c r="N233" s="113"/>
      <c r="O233" s="113"/>
      <c r="P233" s="113"/>
    </row>
    <row r="234" spans="1:16" x14ac:dyDescent="0.45">
      <c r="A234" s="155"/>
      <c r="B234" s="173"/>
      <c r="C234" s="155"/>
      <c r="D234" s="155"/>
      <c r="E234" s="157"/>
      <c r="F234" s="113"/>
      <c r="G234" s="113"/>
      <c r="H234" s="113"/>
      <c r="I234" s="158"/>
      <c r="J234" s="113"/>
      <c r="K234" s="113"/>
      <c r="L234" s="113"/>
      <c r="M234" s="113"/>
      <c r="N234" s="113"/>
      <c r="O234" s="113"/>
      <c r="P234" s="113"/>
    </row>
    <row r="235" spans="1:16" x14ac:dyDescent="0.45">
      <c r="A235" s="155"/>
      <c r="B235" s="173"/>
      <c r="C235" s="155"/>
      <c r="D235" s="155"/>
      <c r="E235" s="157"/>
      <c r="F235" s="113"/>
      <c r="G235" s="113"/>
      <c r="H235" s="113"/>
      <c r="I235" s="158"/>
      <c r="J235" s="113"/>
      <c r="K235" s="113"/>
      <c r="L235" s="113"/>
      <c r="M235" s="113"/>
      <c r="N235" s="113"/>
      <c r="O235" s="113"/>
      <c r="P235" s="113"/>
    </row>
    <row r="236" spans="1:16" x14ac:dyDescent="0.45">
      <c r="A236" s="155"/>
      <c r="B236" s="173"/>
      <c r="C236" s="155"/>
      <c r="D236" s="155"/>
      <c r="E236" s="157"/>
      <c r="F236" s="113"/>
      <c r="G236" s="113"/>
      <c r="H236" s="113"/>
      <c r="I236" s="158"/>
      <c r="J236" s="113"/>
      <c r="K236" s="113"/>
      <c r="L236" s="113"/>
      <c r="M236" s="113"/>
      <c r="N236" s="113"/>
      <c r="O236" s="113"/>
      <c r="P236" s="113"/>
    </row>
    <row r="237" spans="1:16" x14ac:dyDescent="0.45">
      <c r="A237" s="155"/>
      <c r="B237" s="173"/>
      <c r="C237" s="155"/>
      <c r="D237" s="155"/>
      <c r="E237" s="157"/>
      <c r="F237" s="113"/>
      <c r="G237" s="113"/>
      <c r="H237" s="113"/>
      <c r="I237" s="158"/>
      <c r="J237" s="113"/>
      <c r="K237" s="113"/>
      <c r="L237" s="113"/>
      <c r="M237" s="113"/>
      <c r="N237" s="113"/>
      <c r="O237" s="113"/>
      <c r="P237" s="113"/>
    </row>
    <row r="238" spans="1:16" x14ac:dyDescent="0.45">
      <c r="A238" s="155"/>
      <c r="B238" s="173"/>
      <c r="C238" s="155"/>
      <c r="D238" s="155"/>
      <c r="E238" s="157"/>
      <c r="F238" s="113"/>
      <c r="G238" s="113"/>
      <c r="H238" s="113"/>
      <c r="I238" s="158"/>
      <c r="J238" s="113"/>
      <c r="K238" s="113"/>
      <c r="L238" s="113"/>
      <c r="M238" s="113"/>
      <c r="N238" s="113"/>
      <c r="O238" s="113"/>
      <c r="P238" s="113"/>
    </row>
    <row r="239" spans="1:16" x14ac:dyDescent="0.45">
      <c r="A239" s="155"/>
      <c r="B239" s="173"/>
      <c r="C239" s="155"/>
      <c r="D239" s="155"/>
      <c r="E239" s="157"/>
      <c r="F239" s="113"/>
      <c r="G239" s="113"/>
      <c r="H239" s="113"/>
      <c r="I239" s="158"/>
      <c r="J239" s="113"/>
      <c r="K239" s="113"/>
      <c r="L239" s="113"/>
      <c r="M239" s="113"/>
      <c r="N239" s="113"/>
      <c r="O239" s="113"/>
      <c r="P239" s="113"/>
    </row>
    <row r="240" spans="1:16" x14ac:dyDescent="0.45">
      <c r="A240" s="155"/>
      <c r="B240" s="173"/>
      <c r="C240" s="155"/>
      <c r="D240" s="155"/>
      <c r="E240" s="157"/>
      <c r="F240" s="113"/>
      <c r="G240" s="113"/>
      <c r="H240" s="113"/>
      <c r="I240" s="158"/>
      <c r="J240" s="113"/>
      <c r="K240" s="113"/>
      <c r="L240" s="113"/>
      <c r="M240" s="113"/>
      <c r="N240" s="113"/>
      <c r="O240" s="113"/>
      <c r="P240" s="113"/>
    </row>
    <row r="241" spans="1:16" x14ac:dyDescent="0.45">
      <c r="A241" s="155"/>
      <c r="B241" s="173"/>
      <c r="C241" s="155"/>
      <c r="D241" s="155"/>
      <c r="E241" s="157"/>
      <c r="F241" s="113"/>
      <c r="G241" s="113"/>
      <c r="H241" s="113"/>
      <c r="I241" s="158"/>
      <c r="J241" s="113"/>
      <c r="K241" s="113"/>
      <c r="L241" s="113"/>
      <c r="M241" s="113"/>
      <c r="N241" s="113"/>
      <c r="O241" s="113"/>
      <c r="P241" s="113"/>
    </row>
    <row r="242" spans="1:16" x14ac:dyDescent="0.45">
      <c r="A242" s="155"/>
      <c r="B242" s="173"/>
      <c r="C242" s="155"/>
      <c r="D242" s="155"/>
      <c r="E242" s="157"/>
      <c r="F242" s="113"/>
      <c r="G242" s="113"/>
      <c r="H242" s="113"/>
      <c r="I242" s="158"/>
      <c r="J242" s="113"/>
      <c r="K242" s="113"/>
      <c r="L242" s="113"/>
      <c r="M242" s="113"/>
      <c r="N242" s="113"/>
      <c r="O242" s="113"/>
      <c r="P242" s="113"/>
    </row>
    <row r="243" spans="1:16" x14ac:dyDescent="0.45">
      <c r="A243" s="155"/>
      <c r="B243" s="173"/>
      <c r="C243" s="155"/>
      <c r="D243" s="155"/>
      <c r="E243" s="157"/>
      <c r="F243" s="113"/>
      <c r="G243" s="113"/>
      <c r="H243" s="113"/>
      <c r="I243" s="158"/>
      <c r="J243" s="113"/>
      <c r="K243" s="113"/>
      <c r="L243" s="113"/>
      <c r="M243" s="113"/>
      <c r="N243" s="113"/>
      <c r="O243" s="113"/>
      <c r="P243" s="113"/>
    </row>
    <row r="244" spans="1:16" x14ac:dyDescent="0.45">
      <c r="A244" s="155"/>
      <c r="B244" s="173"/>
      <c r="C244" s="155"/>
      <c r="D244" s="155"/>
      <c r="E244" s="157"/>
      <c r="F244" s="113"/>
      <c r="G244" s="113"/>
      <c r="H244" s="113"/>
      <c r="I244" s="158"/>
      <c r="J244" s="113"/>
      <c r="K244" s="113"/>
      <c r="L244" s="113"/>
      <c r="M244" s="113"/>
      <c r="N244" s="113"/>
      <c r="O244" s="113"/>
      <c r="P244" s="113"/>
    </row>
    <row r="245" spans="1:16" x14ac:dyDescent="0.45">
      <c r="A245" s="155"/>
      <c r="B245" s="173"/>
      <c r="C245" s="155"/>
      <c r="D245" s="155"/>
      <c r="E245" s="157"/>
      <c r="F245" s="113"/>
      <c r="G245" s="113"/>
      <c r="H245" s="113"/>
      <c r="I245" s="158"/>
      <c r="J245" s="113"/>
      <c r="K245" s="113"/>
      <c r="L245" s="113"/>
      <c r="M245" s="113"/>
      <c r="N245" s="113"/>
      <c r="O245" s="113"/>
      <c r="P245" s="113"/>
    </row>
    <row r="246" spans="1:16" x14ac:dyDescent="0.45">
      <c r="A246" s="155"/>
      <c r="B246" s="173"/>
      <c r="C246" s="155"/>
      <c r="D246" s="155"/>
      <c r="E246" s="157"/>
      <c r="F246" s="113"/>
      <c r="G246" s="113"/>
      <c r="H246" s="113"/>
      <c r="I246" s="158"/>
      <c r="J246" s="113"/>
      <c r="K246" s="113"/>
      <c r="L246" s="113"/>
      <c r="M246" s="113"/>
      <c r="N246" s="113"/>
      <c r="O246" s="113"/>
      <c r="P246" s="113"/>
    </row>
    <row r="247" spans="1:16" x14ac:dyDescent="0.45">
      <c r="A247" s="155"/>
      <c r="B247" s="173"/>
      <c r="C247" s="155"/>
      <c r="D247" s="155"/>
      <c r="E247" s="157"/>
      <c r="F247" s="113"/>
      <c r="G247" s="113"/>
      <c r="H247" s="113"/>
      <c r="I247" s="158"/>
      <c r="J247" s="113"/>
      <c r="K247" s="113"/>
      <c r="L247" s="113"/>
      <c r="M247" s="113"/>
      <c r="N247" s="113"/>
      <c r="O247" s="113"/>
      <c r="P247" s="113"/>
    </row>
    <row r="248" spans="1:16" x14ac:dyDescent="0.45">
      <c r="A248" s="155"/>
      <c r="B248" s="173"/>
      <c r="C248" s="155"/>
      <c r="D248" s="155"/>
      <c r="E248" s="157"/>
      <c r="F248" s="113"/>
      <c r="G248" s="113"/>
      <c r="H248" s="113"/>
      <c r="I248" s="158"/>
      <c r="J248" s="113"/>
      <c r="K248" s="113"/>
      <c r="L248" s="113"/>
      <c r="M248" s="113"/>
      <c r="N248" s="113"/>
      <c r="O248" s="113"/>
      <c r="P248" s="113"/>
    </row>
    <row r="249" spans="1:16" x14ac:dyDescent="0.45">
      <c r="A249" s="155"/>
      <c r="B249" s="173"/>
      <c r="C249" s="155"/>
      <c r="D249" s="155"/>
      <c r="E249" s="157"/>
      <c r="F249" s="113"/>
      <c r="G249" s="113"/>
      <c r="H249" s="113"/>
      <c r="I249" s="158"/>
      <c r="J249" s="113"/>
      <c r="K249" s="113"/>
      <c r="L249" s="113"/>
      <c r="M249" s="113"/>
      <c r="N249" s="113"/>
      <c r="O249" s="113"/>
      <c r="P249" s="113"/>
    </row>
    <row r="250" spans="1:16" x14ac:dyDescent="0.45">
      <c r="A250" s="155"/>
      <c r="B250" s="173"/>
      <c r="C250" s="155"/>
      <c r="D250" s="155"/>
      <c r="E250" s="157"/>
      <c r="F250" s="113"/>
      <c r="G250" s="113"/>
      <c r="H250" s="113"/>
      <c r="I250" s="158"/>
      <c r="J250" s="113"/>
      <c r="K250" s="113"/>
      <c r="L250" s="113"/>
      <c r="M250" s="113"/>
      <c r="N250" s="113"/>
      <c r="O250" s="113"/>
      <c r="P250" s="113"/>
    </row>
    <row r="251" spans="1:16" x14ac:dyDescent="0.45">
      <c r="A251" s="155"/>
      <c r="B251" s="173"/>
      <c r="C251" s="155"/>
      <c r="D251" s="155"/>
      <c r="E251" s="157"/>
      <c r="F251" s="113"/>
      <c r="G251" s="113"/>
      <c r="H251" s="113"/>
      <c r="I251" s="158"/>
      <c r="J251" s="113"/>
      <c r="K251" s="113"/>
      <c r="L251" s="113"/>
      <c r="M251" s="113"/>
      <c r="N251" s="113"/>
      <c r="O251" s="113"/>
      <c r="P251" s="113"/>
    </row>
    <row r="252" spans="1:16" x14ac:dyDescent="0.45">
      <c r="A252" s="155"/>
      <c r="B252" s="173"/>
      <c r="C252" s="155"/>
      <c r="D252" s="155"/>
      <c r="E252" s="157"/>
      <c r="F252" s="113"/>
      <c r="G252" s="113"/>
      <c r="H252" s="113"/>
      <c r="I252" s="158"/>
      <c r="J252" s="113"/>
      <c r="K252" s="113"/>
      <c r="L252" s="113"/>
      <c r="M252" s="113"/>
      <c r="N252" s="113"/>
      <c r="O252" s="113"/>
      <c r="P252" s="113"/>
    </row>
    <row r="253" spans="1:16" x14ac:dyDescent="0.45">
      <c r="A253" s="155"/>
      <c r="B253" s="173"/>
      <c r="C253" s="155"/>
      <c r="D253" s="155"/>
      <c r="E253" s="157"/>
      <c r="F253" s="113"/>
      <c r="G253" s="113"/>
      <c r="H253" s="113"/>
      <c r="I253" s="158"/>
      <c r="J253" s="113"/>
      <c r="K253" s="113"/>
      <c r="L253" s="113"/>
      <c r="M253" s="113"/>
      <c r="N253" s="113"/>
      <c r="O253" s="113"/>
      <c r="P253" s="113"/>
    </row>
    <row r="254" spans="1:16" x14ac:dyDescent="0.45">
      <c r="A254" s="155"/>
      <c r="B254" s="173"/>
      <c r="C254" s="155"/>
      <c r="D254" s="155"/>
      <c r="E254" s="157"/>
      <c r="F254" s="113"/>
      <c r="G254" s="113"/>
      <c r="H254" s="113"/>
      <c r="I254" s="158"/>
      <c r="J254" s="113"/>
      <c r="K254" s="113"/>
      <c r="L254" s="113"/>
      <c r="M254" s="113"/>
      <c r="N254" s="113"/>
      <c r="O254" s="113"/>
      <c r="P254" s="113"/>
    </row>
    <row r="255" spans="1:16" x14ac:dyDescent="0.45">
      <c r="A255" s="155"/>
      <c r="B255" s="173"/>
      <c r="C255" s="155"/>
      <c r="D255" s="155"/>
      <c r="E255" s="157"/>
      <c r="F255" s="113"/>
      <c r="G255" s="113"/>
      <c r="H255" s="113"/>
      <c r="I255" s="158"/>
      <c r="J255" s="113"/>
      <c r="K255" s="113"/>
      <c r="L255" s="113"/>
      <c r="M255" s="113"/>
      <c r="N255" s="113"/>
      <c r="O255" s="113"/>
      <c r="P255" s="113"/>
    </row>
    <row r="259" spans="1:16" ht="21.75" x14ac:dyDescent="0.45">
      <c r="A259" s="555" t="s">
        <v>517</v>
      </c>
      <c r="B259" s="555"/>
      <c r="C259" s="555"/>
      <c r="D259" s="555"/>
      <c r="E259" s="555" t="s">
        <v>518</v>
      </c>
      <c r="F259" s="555"/>
      <c r="G259" s="555"/>
      <c r="H259" s="555" t="s">
        <v>518</v>
      </c>
      <c r="I259" s="555"/>
      <c r="J259" s="555"/>
      <c r="K259" s="555"/>
      <c r="L259" s="556" t="s">
        <v>519</v>
      </c>
      <c r="M259" s="556"/>
      <c r="N259" s="556"/>
      <c r="O259" s="556"/>
      <c r="P259" s="244"/>
    </row>
    <row r="260" spans="1:16" ht="21.75" x14ac:dyDescent="0.45">
      <c r="A260" s="555" t="s">
        <v>785</v>
      </c>
      <c r="B260" s="555"/>
      <c r="C260" s="555"/>
      <c r="D260" s="555"/>
      <c r="E260" s="555" t="s">
        <v>786</v>
      </c>
      <c r="F260" s="555"/>
      <c r="G260" s="555"/>
      <c r="H260" s="555" t="s">
        <v>520</v>
      </c>
      <c r="I260" s="555"/>
      <c r="J260" s="555"/>
      <c r="K260" s="555"/>
      <c r="L260" s="556" t="s">
        <v>521</v>
      </c>
      <c r="M260" s="556"/>
      <c r="N260" s="556"/>
      <c r="O260" s="556"/>
      <c r="P260" s="244"/>
    </row>
    <row r="261" spans="1:16" ht="21.75" x14ac:dyDescent="0.45">
      <c r="A261" s="555" t="s">
        <v>787</v>
      </c>
      <c r="B261" s="555"/>
      <c r="C261" s="555"/>
      <c r="D261" s="555"/>
      <c r="E261" s="555" t="s">
        <v>522</v>
      </c>
      <c r="F261" s="555"/>
      <c r="G261" s="555"/>
      <c r="H261" s="555" t="s">
        <v>523</v>
      </c>
      <c r="I261" s="555"/>
      <c r="J261" s="555"/>
      <c r="K261" s="555"/>
      <c r="L261" s="556" t="s">
        <v>524</v>
      </c>
      <c r="M261" s="556"/>
      <c r="N261" s="556"/>
      <c r="O261" s="556"/>
      <c r="P261" s="244"/>
    </row>
  </sheetData>
  <mergeCells count="30">
    <mergeCell ref="A1:O1"/>
    <mergeCell ref="A2:O2"/>
    <mergeCell ref="A3:O3"/>
    <mergeCell ref="A5:A7"/>
    <mergeCell ref="B5:I5"/>
    <mergeCell ref="J5:N5"/>
    <mergeCell ref="O5:O7"/>
    <mergeCell ref="B6:B7"/>
    <mergeCell ref="C6:C7"/>
    <mergeCell ref="D6:D7"/>
    <mergeCell ref="L6:N6"/>
    <mergeCell ref="E6:E7"/>
    <mergeCell ref="F6:F7"/>
    <mergeCell ref="G6:G7"/>
    <mergeCell ref="H6:H7"/>
    <mergeCell ref="I6:I7"/>
    <mergeCell ref="A261:D261"/>
    <mergeCell ref="E261:G261"/>
    <mergeCell ref="H261:K261"/>
    <mergeCell ref="L261:O261"/>
    <mergeCell ref="J6:K6"/>
    <mergeCell ref="A260:D260"/>
    <mergeCell ref="E260:G260"/>
    <mergeCell ref="H260:K260"/>
    <mergeCell ref="L260:O260"/>
    <mergeCell ref="A96:H96"/>
    <mergeCell ref="A259:D259"/>
    <mergeCell ref="E259:G259"/>
    <mergeCell ref="H259:K259"/>
    <mergeCell ref="L259:O25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5"/>
  <sheetViews>
    <sheetView topLeftCell="A61" workbookViewId="0">
      <selection activeCell="A3" sqref="A3:O3"/>
    </sheetView>
  </sheetViews>
  <sheetFormatPr defaultRowHeight="17.25" x14ac:dyDescent="0.3"/>
  <cols>
    <col min="1" max="1" width="4.625" style="155" customWidth="1"/>
    <col min="2" max="2" width="9.125" style="173" customWidth="1"/>
    <col min="3" max="3" width="10.625" style="155" customWidth="1"/>
    <col min="4" max="4" width="16.625" style="155" customWidth="1"/>
    <col min="5" max="5" width="22.625" style="157" customWidth="1"/>
    <col min="6" max="6" width="15.625" style="113" customWidth="1"/>
    <col min="7" max="7" width="17" style="113" customWidth="1"/>
    <col min="8" max="8" width="25.625" style="113" customWidth="1"/>
    <col min="9" max="9" width="11.625" style="158" customWidth="1"/>
    <col min="10" max="13" width="11.625" style="113" customWidth="1"/>
    <col min="14" max="14" width="9.625" style="113" customWidth="1"/>
    <col min="15" max="15" width="11.625" style="113" customWidth="1"/>
    <col min="16" max="16384" width="9" style="113"/>
  </cols>
  <sheetData>
    <row r="1" spans="1:16" ht="18.75" x14ac:dyDescent="0.3">
      <c r="A1" s="595" t="s">
        <v>250</v>
      </c>
      <c r="B1" s="595"/>
      <c r="C1" s="595"/>
      <c r="D1" s="595"/>
      <c r="E1" s="595"/>
      <c r="F1" s="595"/>
      <c r="G1" s="595"/>
      <c r="H1" s="595"/>
      <c r="I1" s="595"/>
      <c r="J1" s="595"/>
      <c r="K1" s="595"/>
      <c r="L1" s="595"/>
      <c r="M1" s="595"/>
      <c r="N1" s="595"/>
      <c r="O1" s="595"/>
    </row>
    <row r="2" spans="1:16" ht="18.75" x14ac:dyDescent="0.3">
      <c r="A2" s="595" t="s">
        <v>251</v>
      </c>
      <c r="B2" s="595"/>
      <c r="C2" s="595"/>
      <c r="D2" s="595"/>
      <c r="E2" s="595"/>
      <c r="F2" s="595"/>
      <c r="G2" s="595"/>
      <c r="H2" s="595"/>
      <c r="I2" s="595"/>
      <c r="J2" s="595"/>
      <c r="K2" s="595"/>
      <c r="L2" s="595"/>
      <c r="M2" s="595"/>
      <c r="N2" s="595"/>
      <c r="O2" s="595"/>
    </row>
    <row r="3" spans="1:16" ht="18.75" x14ac:dyDescent="0.3">
      <c r="A3" s="595" t="s">
        <v>525</v>
      </c>
      <c r="B3" s="595"/>
      <c r="C3" s="595"/>
      <c r="D3" s="595"/>
      <c r="E3" s="595"/>
      <c r="F3" s="595"/>
      <c r="G3" s="595"/>
      <c r="H3" s="595"/>
      <c r="I3" s="595"/>
      <c r="J3" s="595"/>
      <c r="K3" s="595"/>
      <c r="L3" s="595"/>
      <c r="M3" s="595"/>
      <c r="N3" s="595"/>
      <c r="O3" s="595"/>
    </row>
    <row r="4" spans="1:16" s="117" customFormat="1" ht="8.1" customHeight="1" x14ac:dyDescent="0.3">
      <c r="A4" s="114"/>
      <c r="B4" s="159"/>
      <c r="C4" s="114"/>
      <c r="D4" s="114"/>
      <c r="E4" s="116"/>
      <c r="I4" s="118"/>
    </row>
    <row r="5" spans="1:16" s="121" customFormat="1" ht="38.1" customHeight="1" x14ac:dyDescent="0.3">
      <c r="A5" s="596" t="s">
        <v>253</v>
      </c>
      <c r="B5" s="599" t="s">
        <v>254</v>
      </c>
      <c r="C5" s="600"/>
      <c r="D5" s="600"/>
      <c r="E5" s="600"/>
      <c r="F5" s="600"/>
      <c r="G5" s="600"/>
      <c r="H5" s="600"/>
      <c r="I5" s="601"/>
      <c r="J5" s="602" t="s">
        <v>255</v>
      </c>
      <c r="K5" s="603"/>
      <c r="L5" s="604"/>
      <c r="M5" s="604"/>
      <c r="N5" s="119"/>
      <c r="O5" s="596" t="s">
        <v>256</v>
      </c>
      <c r="P5" s="120"/>
    </row>
    <row r="6" spans="1:16" s="122" customFormat="1" ht="57.95" customHeight="1" x14ac:dyDescent="0.2">
      <c r="A6" s="597"/>
      <c r="B6" s="605" t="s">
        <v>257</v>
      </c>
      <c r="C6" s="606" t="s">
        <v>2</v>
      </c>
      <c r="D6" s="606" t="s">
        <v>258</v>
      </c>
      <c r="E6" s="596" t="s">
        <v>259</v>
      </c>
      <c r="F6" s="606" t="s">
        <v>260</v>
      </c>
      <c r="G6" s="606" t="s">
        <v>261</v>
      </c>
      <c r="H6" s="606" t="s">
        <v>262</v>
      </c>
      <c r="I6" s="608" t="s">
        <v>263</v>
      </c>
      <c r="J6" s="590" t="s">
        <v>264</v>
      </c>
      <c r="K6" s="591"/>
      <c r="L6" s="590" t="s">
        <v>265</v>
      </c>
      <c r="M6" s="591"/>
      <c r="N6" s="607"/>
      <c r="O6" s="597"/>
    </row>
    <row r="7" spans="1:16" s="121" customFormat="1" ht="60" customHeight="1" x14ac:dyDescent="0.3">
      <c r="A7" s="598"/>
      <c r="B7" s="605"/>
      <c r="C7" s="606"/>
      <c r="D7" s="606"/>
      <c r="E7" s="598"/>
      <c r="F7" s="606"/>
      <c r="G7" s="606"/>
      <c r="H7" s="606"/>
      <c r="I7" s="608"/>
      <c r="J7" s="123" t="s">
        <v>266</v>
      </c>
      <c r="K7" s="123" t="s">
        <v>267</v>
      </c>
      <c r="L7" s="123" t="s">
        <v>266</v>
      </c>
      <c r="M7" s="123" t="s">
        <v>267</v>
      </c>
      <c r="N7" s="123" t="s">
        <v>268</v>
      </c>
      <c r="O7" s="598"/>
      <c r="P7" s="120"/>
    </row>
    <row r="8" spans="1:16" ht="20.100000000000001" customHeight="1" x14ac:dyDescent="0.3">
      <c r="A8" s="124" t="s">
        <v>526</v>
      </c>
      <c r="B8" s="160"/>
      <c r="C8" s="126"/>
      <c r="D8" s="126"/>
      <c r="E8" s="127"/>
      <c r="F8" s="128"/>
      <c r="G8" s="128"/>
      <c r="H8" s="128"/>
      <c r="I8" s="129">
        <f>SUM(I9:I11)</f>
        <v>295000</v>
      </c>
      <c r="J8" s="129">
        <f t="shared" ref="J8:O8" si="0">SUM(J9:J11)</f>
        <v>35000</v>
      </c>
      <c r="K8" s="129">
        <f t="shared" si="0"/>
        <v>35000</v>
      </c>
      <c r="L8" s="129">
        <f t="shared" si="0"/>
        <v>0</v>
      </c>
      <c r="M8" s="129">
        <f t="shared" si="0"/>
        <v>0</v>
      </c>
      <c r="N8" s="129">
        <f t="shared" si="0"/>
        <v>0</v>
      </c>
      <c r="O8" s="129">
        <f t="shared" si="0"/>
        <v>225000</v>
      </c>
    </row>
    <row r="9" spans="1:16" s="138" customFormat="1" ht="80.099999999999994" customHeight="1" x14ac:dyDescent="0.2">
      <c r="A9" s="130">
        <v>1</v>
      </c>
      <c r="B9" s="161">
        <v>241712</v>
      </c>
      <c r="C9" s="132" t="s">
        <v>527</v>
      </c>
      <c r="D9" s="133" t="s">
        <v>528</v>
      </c>
      <c r="E9" s="134" t="s">
        <v>529</v>
      </c>
      <c r="F9" s="134" t="s">
        <v>526</v>
      </c>
      <c r="G9" s="134" t="s">
        <v>530</v>
      </c>
      <c r="H9" s="135" t="s">
        <v>531</v>
      </c>
      <c r="I9" s="136">
        <v>20000</v>
      </c>
      <c r="J9" s="137">
        <v>10000</v>
      </c>
      <c r="K9" s="137">
        <v>10000</v>
      </c>
      <c r="L9" s="137">
        <v>0</v>
      </c>
      <c r="M9" s="137">
        <v>0</v>
      </c>
      <c r="N9" s="137">
        <v>0</v>
      </c>
      <c r="O9" s="137">
        <f>+I9-(SUM(J9:N9))</f>
        <v>0</v>
      </c>
    </row>
    <row r="10" spans="1:16" s="138" customFormat="1" ht="90" customHeight="1" x14ac:dyDescent="0.2">
      <c r="A10" s="130">
        <v>2</v>
      </c>
      <c r="B10" s="162" t="s">
        <v>532</v>
      </c>
      <c r="C10" s="142" t="s">
        <v>533</v>
      </c>
      <c r="D10" s="141" t="s">
        <v>534</v>
      </c>
      <c r="E10" s="143" t="s">
        <v>529</v>
      </c>
      <c r="F10" s="143" t="s">
        <v>526</v>
      </c>
      <c r="G10" s="143" t="s">
        <v>535</v>
      </c>
      <c r="H10" s="144" t="s">
        <v>536</v>
      </c>
      <c r="I10" s="137">
        <v>250000</v>
      </c>
      <c r="J10" s="137">
        <v>12500</v>
      </c>
      <c r="K10" s="137">
        <v>12500</v>
      </c>
      <c r="L10" s="137">
        <v>0</v>
      </c>
      <c r="M10" s="137">
        <v>0</v>
      </c>
      <c r="N10" s="137">
        <v>0</v>
      </c>
      <c r="O10" s="137">
        <f>+I10-(SUM(J10:N10))</f>
        <v>225000</v>
      </c>
    </row>
    <row r="11" spans="1:16" s="138" customFormat="1" ht="129.94999999999999" customHeight="1" x14ac:dyDescent="0.2">
      <c r="A11" s="130">
        <v>3</v>
      </c>
      <c r="B11" s="162" t="s">
        <v>537</v>
      </c>
      <c r="C11" s="142" t="s">
        <v>538</v>
      </c>
      <c r="D11" s="141" t="s">
        <v>539</v>
      </c>
      <c r="E11" s="143" t="s">
        <v>529</v>
      </c>
      <c r="F11" s="143" t="s">
        <v>526</v>
      </c>
      <c r="G11" s="143" t="s">
        <v>540</v>
      </c>
      <c r="H11" s="144" t="s">
        <v>541</v>
      </c>
      <c r="I11" s="137">
        <v>25000</v>
      </c>
      <c r="J11" s="137">
        <v>12500</v>
      </c>
      <c r="K11" s="137">
        <v>12500</v>
      </c>
      <c r="L11" s="137">
        <v>0</v>
      </c>
      <c r="M11" s="137">
        <v>0</v>
      </c>
      <c r="N11" s="137">
        <v>0</v>
      </c>
      <c r="O11" s="137">
        <f>+I11-(SUM(J11:N11))</f>
        <v>0</v>
      </c>
    </row>
    <row r="12" spans="1:16" ht="20.100000000000001" customHeight="1" x14ac:dyDescent="0.3">
      <c r="A12" s="124" t="s">
        <v>269</v>
      </c>
      <c r="B12" s="160"/>
      <c r="C12" s="126"/>
      <c r="D12" s="126"/>
      <c r="E12" s="127"/>
      <c r="F12" s="128"/>
      <c r="G12" s="128"/>
      <c r="H12" s="128"/>
      <c r="I12" s="129">
        <f>SUM(I13:I48)</f>
        <v>6321118</v>
      </c>
      <c r="J12" s="129">
        <f t="shared" ref="J12:O12" si="1">SUM(J13:J48)</f>
        <v>311507.90000000002</v>
      </c>
      <c r="K12" s="129">
        <f t="shared" si="1"/>
        <v>311507.90000000002</v>
      </c>
      <c r="L12" s="129">
        <f t="shared" si="1"/>
        <v>38140</v>
      </c>
      <c r="M12" s="129">
        <f t="shared" si="1"/>
        <v>51570</v>
      </c>
      <c r="N12" s="129">
        <f t="shared" si="1"/>
        <v>0</v>
      </c>
      <c r="O12" s="129">
        <f t="shared" si="1"/>
        <v>5608392.1999999993</v>
      </c>
    </row>
    <row r="13" spans="1:16" s="138" customFormat="1" ht="90" customHeight="1" x14ac:dyDescent="0.2">
      <c r="A13" s="130">
        <v>1</v>
      </c>
      <c r="B13" s="161">
        <v>241709</v>
      </c>
      <c r="C13" s="132" t="s">
        <v>542</v>
      </c>
      <c r="D13" s="133" t="s">
        <v>543</v>
      </c>
      <c r="E13" s="134" t="s">
        <v>115</v>
      </c>
      <c r="F13" s="134" t="s">
        <v>117</v>
      </c>
      <c r="G13" s="134" t="s">
        <v>544</v>
      </c>
      <c r="H13" s="135" t="s">
        <v>545</v>
      </c>
      <c r="I13" s="136">
        <v>422000</v>
      </c>
      <c r="J13" s="137">
        <v>21100</v>
      </c>
      <c r="K13" s="137">
        <v>21100</v>
      </c>
      <c r="L13" s="137">
        <v>0</v>
      </c>
      <c r="M13" s="137">
        <v>0</v>
      </c>
      <c r="N13" s="137">
        <v>0</v>
      </c>
      <c r="O13" s="137">
        <f>+I13-(SUM(J13:N13))</f>
        <v>379800</v>
      </c>
    </row>
    <row r="14" spans="1:16" s="138" customFormat="1" ht="90" customHeight="1" x14ac:dyDescent="0.2">
      <c r="A14" s="130">
        <v>2</v>
      </c>
      <c r="B14" s="161">
        <v>241709</v>
      </c>
      <c r="C14" s="132" t="s">
        <v>546</v>
      </c>
      <c r="D14" s="133" t="s">
        <v>547</v>
      </c>
      <c r="E14" s="134" t="s">
        <v>115</v>
      </c>
      <c r="F14" s="134" t="s">
        <v>117</v>
      </c>
      <c r="G14" s="134" t="s">
        <v>548</v>
      </c>
      <c r="H14" s="135" t="s">
        <v>545</v>
      </c>
      <c r="I14" s="136">
        <v>583000</v>
      </c>
      <c r="J14" s="137">
        <v>29150</v>
      </c>
      <c r="K14" s="137">
        <v>29150</v>
      </c>
      <c r="L14" s="137">
        <v>0</v>
      </c>
      <c r="M14" s="137">
        <v>0</v>
      </c>
      <c r="N14" s="137">
        <v>0</v>
      </c>
      <c r="O14" s="137">
        <f t="shared" ref="O14:O48" si="2">+I14-(SUM(J14:N14))</f>
        <v>524700</v>
      </c>
    </row>
    <row r="15" spans="1:16" s="138" customFormat="1" ht="90" customHeight="1" x14ac:dyDescent="0.2">
      <c r="A15" s="130">
        <v>3</v>
      </c>
      <c r="B15" s="161">
        <v>241719</v>
      </c>
      <c r="C15" s="132" t="s">
        <v>549</v>
      </c>
      <c r="D15" s="133" t="s">
        <v>550</v>
      </c>
      <c r="E15" s="134" t="s">
        <v>115</v>
      </c>
      <c r="F15" s="134" t="s">
        <v>117</v>
      </c>
      <c r="G15" s="134" t="s">
        <v>551</v>
      </c>
      <c r="H15" s="135" t="s">
        <v>545</v>
      </c>
      <c r="I15" s="136">
        <v>480000</v>
      </c>
      <c r="J15" s="137">
        <v>24000</v>
      </c>
      <c r="K15" s="137">
        <v>24000</v>
      </c>
      <c r="L15" s="137">
        <v>0</v>
      </c>
      <c r="M15" s="137">
        <v>0</v>
      </c>
      <c r="N15" s="137">
        <v>0</v>
      </c>
      <c r="O15" s="137">
        <f t="shared" si="2"/>
        <v>432000</v>
      </c>
    </row>
    <row r="16" spans="1:16" s="138" customFormat="1" ht="90" customHeight="1" x14ac:dyDescent="0.2">
      <c r="A16" s="130">
        <v>4</v>
      </c>
      <c r="B16" s="161">
        <v>241731</v>
      </c>
      <c r="C16" s="132" t="s">
        <v>552</v>
      </c>
      <c r="D16" s="133" t="s">
        <v>553</v>
      </c>
      <c r="E16" s="134" t="s">
        <v>115</v>
      </c>
      <c r="F16" s="134" t="s">
        <v>117</v>
      </c>
      <c r="G16" s="134" t="s">
        <v>554</v>
      </c>
      <c r="H16" s="135" t="s">
        <v>545</v>
      </c>
      <c r="I16" s="136">
        <v>505000</v>
      </c>
      <c r="J16" s="137">
        <v>25250</v>
      </c>
      <c r="K16" s="137">
        <v>25250</v>
      </c>
      <c r="L16" s="137">
        <v>0</v>
      </c>
      <c r="M16" s="137">
        <v>0</v>
      </c>
      <c r="N16" s="137">
        <v>0</v>
      </c>
      <c r="O16" s="137">
        <f t="shared" si="2"/>
        <v>454500</v>
      </c>
    </row>
    <row r="17" spans="1:15" s="138" customFormat="1" ht="90" customHeight="1" x14ac:dyDescent="0.2">
      <c r="A17" s="130">
        <v>5</v>
      </c>
      <c r="B17" s="162" t="s">
        <v>555</v>
      </c>
      <c r="C17" s="142" t="s">
        <v>556</v>
      </c>
      <c r="D17" s="141" t="s">
        <v>557</v>
      </c>
      <c r="E17" s="143" t="s">
        <v>115</v>
      </c>
      <c r="F17" s="143" t="s">
        <v>117</v>
      </c>
      <c r="G17" s="143" t="s">
        <v>558</v>
      </c>
      <c r="H17" s="144" t="s">
        <v>545</v>
      </c>
      <c r="I17" s="137">
        <v>304000</v>
      </c>
      <c r="J17" s="137">
        <v>15200</v>
      </c>
      <c r="K17" s="137">
        <v>15200</v>
      </c>
      <c r="L17" s="137">
        <v>0</v>
      </c>
      <c r="M17" s="137">
        <v>0</v>
      </c>
      <c r="N17" s="137">
        <v>0</v>
      </c>
      <c r="O17" s="137">
        <f t="shared" si="2"/>
        <v>273600</v>
      </c>
    </row>
    <row r="18" spans="1:15" s="138" customFormat="1" ht="150" customHeight="1" x14ac:dyDescent="0.2">
      <c r="A18" s="130">
        <v>6</v>
      </c>
      <c r="B18" s="162" t="s">
        <v>559</v>
      </c>
      <c r="C18" s="142" t="s">
        <v>560</v>
      </c>
      <c r="D18" s="141" t="s">
        <v>561</v>
      </c>
      <c r="E18" s="143" t="s">
        <v>335</v>
      </c>
      <c r="F18" s="143" t="s">
        <v>19</v>
      </c>
      <c r="G18" s="143" t="s">
        <v>336</v>
      </c>
      <c r="H18" s="144" t="s">
        <v>562</v>
      </c>
      <c r="I18" s="137">
        <v>95000</v>
      </c>
      <c r="J18" s="137">
        <v>4750</v>
      </c>
      <c r="K18" s="137">
        <v>4750</v>
      </c>
      <c r="L18" s="137">
        <v>0</v>
      </c>
      <c r="M18" s="137">
        <v>0</v>
      </c>
      <c r="N18" s="137">
        <v>0</v>
      </c>
      <c r="O18" s="137">
        <f t="shared" si="2"/>
        <v>85500</v>
      </c>
    </row>
    <row r="19" spans="1:15" s="138" customFormat="1" ht="90" customHeight="1" x14ac:dyDescent="0.2">
      <c r="A19" s="130">
        <v>7</v>
      </c>
      <c r="B19" s="162" t="s">
        <v>563</v>
      </c>
      <c r="C19" s="142" t="s">
        <v>564</v>
      </c>
      <c r="D19" s="141" t="s">
        <v>565</v>
      </c>
      <c r="E19" s="143" t="s">
        <v>115</v>
      </c>
      <c r="F19" s="143" t="s">
        <v>117</v>
      </c>
      <c r="G19" s="143" t="s">
        <v>566</v>
      </c>
      <c r="H19" s="144" t="s">
        <v>545</v>
      </c>
      <c r="I19" s="137">
        <v>648000</v>
      </c>
      <c r="J19" s="137">
        <v>32400</v>
      </c>
      <c r="K19" s="137">
        <v>32400</v>
      </c>
      <c r="L19" s="137">
        <v>0</v>
      </c>
      <c r="M19" s="137">
        <v>0</v>
      </c>
      <c r="N19" s="137">
        <v>0</v>
      </c>
      <c r="O19" s="137">
        <f t="shared" si="2"/>
        <v>583200</v>
      </c>
    </row>
    <row r="20" spans="1:15" s="138" customFormat="1" ht="90" customHeight="1" x14ac:dyDescent="0.2">
      <c r="A20" s="130">
        <v>8</v>
      </c>
      <c r="B20" s="162" t="s">
        <v>563</v>
      </c>
      <c r="C20" s="142" t="s">
        <v>567</v>
      </c>
      <c r="D20" s="141" t="s">
        <v>568</v>
      </c>
      <c r="E20" s="143" t="s">
        <v>115</v>
      </c>
      <c r="F20" s="143" t="s">
        <v>117</v>
      </c>
      <c r="G20" s="143" t="s">
        <v>318</v>
      </c>
      <c r="H20" s="144" t="s">
        <v>569</v>
      </c>
      <c r="I20" s="137">
        <v>1250</v>
      </c>
      <c r="J20" s="137">
        <v>0</v>
      </c>
      <c r="K20" s="137">
        <v>0</v>
      </c>
      <c r="L20" s="137">
        <v>0</v>
      </c>
      <c r="M20" s="137">
        <v>0</v>
      </c>
      <c r="N20" s="145" t="s">
        <v>311</v>
      </c>
      <c r="O20" s="137">
        <f t="shared" si="2"/>
        <v>1250</v>
      </c>
    </row>
    <row r="21" spans="1:15" s="138" customFormat="1" ht="110.1" customHeight="1" x14ac:dyDescent="0.2">
      <c r="A21" s="130">
        <v>9</v>
      </c>
      <c r="B21" s="162" t="s">
        <v>563</v>
      </c>
      <c r="C21" s="142" t="s">
        <v>316</v>
      </c>
      <c r="D21" s="141" t="s">
        <v>570</v>
      </c>
      <c r="E21" s="143" t="s">
        <v>302</v>
      </c>
      <c r="F21" s="143" t="s">
        <v>117</v>
      </c>
      <c r="G21" s="143" t="s">
        <v>441</v>
      </c>
      <c r="H21" s="144" t="s">
        <v>571</v>
      </c>
      <c r="I21" s="137">
        <v>36000</v>
      </c>
      <c r="J21" s="137">
        <v>1800</v>
      </c>
      <c r="K21" s="137">
        <v>1800</v>
      </c>
      <c r="L21" s="137">
        <v>0</v>
      </c>
      <c r="M21" s="137">
        <v>0</v>
      </c>
      <c r="N21" s="137">
        <v>0</v>
      </c>
      <c r="O21" s="137">
        <f t="shared" si="2"/>
        <v>32400</v>
      </c>
    </row>
    <row r="22" spans="1:15" s="138" customFormat="1" ht="90" customHeight="1" x14ac:dyDescent="0.2">
      <c r="A22" s="130">
        <v>10</v>
      </c>
      <c r="B22" s="162" t="s">
        <v>572</v>
      </c>
      <c r="C22" s="142" t="s">
        <v>573</v>
      </c>
      <c r="D22" s="141" t="s">
        <v>574</v>
      </c>
      <c r="E22" s="143" t="s">
        <v>115</v>
      </c>
      <c r="F22" s="143" t="s">
        <v>117</v>
      </c>
      <c r="G22" s="143" t="s">
        <v>575</v>
      </c>
      <c r="H22" s="144" t="s">
        <v>545</v>
      </c>
      <c r="I22" s="137">
        <v>387000</v>
      </c>
      <c r="J22" s="137">
        <v>19350</v>
      </c>
      <c r="K22" s="137">
        <v>19350</v>
      </c>
      <c r="L22" s="137">
        <v>0</v>
      </c>
      <c r="M22" s="137">
        <v>0</v>
      </c>
      <c r="N22" s="137">
        <v>0</v>
      </c>
      <c r="O22" s="137">
        <f t="shared" si="2"/>
        <v>348300</v>
      </c>
    </row>
    <row r="23" spans="1:15" s="138" customFormat="1" ht="90" customHeight="1" x14ac:dyDescent="0.2">
      <c r="A23" s="130">
        <v>11</v>
      </c>
      <c r="B23" s="162" t="s">
        <v>576</v>
      </c>
      <c r="C23" s="142" t="s">
        <v>577</v>
      </c>
      <c r="D23" s="141" t="s">
        <v>578</v>
      </c>
      <c r="E23" s="143" t="s">
        <v>115</v>
      </c>
      <c r="F23" s="143" t="s">
        <v>117</v>
      </c>
      <c r="G23" s="143" t="s">
        <v>289</v>
      </c>
      <c r="H23" s="144" t="s">
        <v>545</v>
      </c>
      <c r="I23" s="137">
        <v>80000</v>
      </c>
      <c r="J23" s="137">
        <v>4000</v>
      </c>
      <c r="K23" s="137">
        <v>4000</v>
      </c>
      <c r="L23" s="137">
        <v>0</v>
      </c>
      <c r="M23" s="137">
        <v>0</v>
      </c>
      <c r="N23" s="137">
        <v>0</v>
      </c>
      <c r="O23" s="137">
        <f t="shared" si="2"/>
        <v>72000</v>
      </c>
    </row>
    <row r="24" spans="1:15" s="138" customFormat="1" ht="90" customHeight="1" x14ac:dyDescent="0.2">
      <c r="A24" s="130">
        <v>12</v>
      </c>
      <c r="B24" s="162" t="s">
        <v>579</v>
      </c>
      <c r="C24" s="142" t="s">
        <v>580</v>
      </c>
      <c r="D24" s="141" t="s">
        <v>581</v>
      </c>
      <c r="E24" s="143" t="s">
        <v>115</v>
      </c>
      <c r="F24" s="143" t="s">
        <v>117</v>
      </c>
      <c r="G24" s="143" t="s">
        <v>318</v>
      </c>
      <c r="H24" s="144" t="s">
        <v>545</v>
      </c>
      <c r="I24" s="137">
        <v>19000</v>
      </c>
      <c r="J24" s="137">
        <v>950</v>
      </c>
      <c r="K24" s="137">
        <v>950</v>
      </c>
      <c r="L24" s="137">
        <v>0</v>
      </c>
      <c r="M24" s="137">
        <v>0</v>
      </c>
      <c r="N24" s="137">
        <v>0</v>
      </c>
      <c r="O24" s="137">
        <f t="shared" si="2"/>
        <v>17100</v>
      </c>
    </row>
    <row r="25" spans="1:15" s="138" customFormat="1" ht="90" customHeight="1" x14ac:dyDescent="0.2">
      <c r="A25" s="130">
        <v>13</v>
      </c>
      <c r="B25" s="162" t="s">
        <v>582</v>
      </c>
      <c r="C25" s="142" t="s">
        <v>583</v>
      </c>
      <c r="D25" s="141" t="s">
        <v>584</v>
      </c>
      <c r="E25" s="143" t="s">
        <v>115</v>
      </c>
      <c r="F25" s="143" t="s">
        <v>117</v>
      </c>
      <c r="G25" s="143" t="s">
        <v>441</v>
      </c>
      <c r="H25" s="144" t="s">
        <v>545</v>
      </c>
      <c r="I25" s="137">
        <v>69000</v>
      </c>
      <c r="J25" s="137">
        <v>3450</v>
      </c>
      <c r="K25" s="137">
        <v>3450</v>
      </c>
      <c r="L25" s="137">
        <v>0</v>
      </c>
      <c r="M25" s="137">
        <v>0</v>
      </c>
      <c r="N25" s="137">
        <v>0</v>
      </c>
      <c r="O25" s="137">
        <f t="shared" si="2"/>
        <v>62100</v>
      </c>
    </row>
    <row r="26" spans="1:15" s="138" customFormat="1" ht="90" customHeight="1" x14ac:dyDescent="0.2">
      <c r="A26" s="130">
        <v>14</v>
      </c>
      <c r="B26" s="162" t="s">
        <v>585</v>
      </c>
      <c r="C26" s="142" t="s">
        <v>586</v>
      </c>
      <c r="D26" s="141" t="s">
        <v>587</v>
      </c>
      <c r="E26" s="143" t="s">
        <v>115</v>
      </c>
      <c r="F26" s="143" t="s">
        <v>117</v>
      </c>
      <c r="G26" s="143" t="s">
        <v>303</v>
      </c>
      <c r="H26" s="144" t="s">
        <v>545</v>
      </c>
      <c r="I26" s="137">
        <v>50000</v>
      </c>
      <c r="J26" s="137">
        <v>2500</v>
      </c>
      <c r="K26" s="137">
        <v>2500</v>
      </c>
      <c r="L26" s="137">
        <v>0</v>
      </c>
      <c r="M26" s="137">
        <v>0</v>
      </c>
      <c r="N26" s="137">
        <v>0</v>
      </c>
      <c r="O26" s="137">
        <f t="shared" si="2"/>
        <v>45000</v>
      </c>
    </row>
    <row r="27" spans="1:15" s="138" customFormat="1" ht="147.94999999999999" customHeight="1" x14ac:dyDescent="0.2">
      <c r="A27" s="130">
        <v>15</v>
      </c>
      <c r="B27" s="162" t="s">
        <v>588</v>
      </c>
      <c r="C27" s="142" t="s">
        <v>589</v>
      </c>
      <c r="D27" s="141" t="s">
        <v>590</v>
      </c>
      <c r="E27" s="143" t="s">
        <v>335</v>
      </c>
      <c r="F27" s="143" t="s">
        <v>19</v>
      </c>
      <c r="G27" s="143" t="s">
        <v>336</v>
      </c>
      <c r="H27" s="144" t="s">
        <v>591</v>
      </c>
      <c r="I27" s="137">
        <v>50000</v>
      </c>
      <c r="J27" s="137">
        <v>2500</v>
      </c>
      <c r="K27" s="137">
        <v>2500</v>
      </c>
      <c r="L27" s="137">
        <v>0</v>
      </c>
      <c r="M27" s="137">
        <v>0</v>
      </c>
      <c r="N27" s="137">
        <v>0</v>
      </c>
      <c r="O27" s="137">
        <f t="shared" si="2"/>
        <v>45000</v>
      </c>
    </row>
    <row r="28" spans="1:15" s="138" customFormat="1" ht="117" customHeight="1" x14ac:dyDescent="0.2">
      <c r="A28" s="130">
        <v>16</v>
      </c>
      <c r="B28" s="162" t="s">
        <v>592</v>
      </c>
      <c r="C28" s="142" t="s">
        <v>593</v>
      </c>
      <c r="D28" s="141" t="s">
        <v>594</v>
      </c>
      <c r="E28" s="143" t="s">
        <v>595</v>
      </c>
      <c r="F28" s="143" t="s">
        <v>161</v>
      </c>
      <c r="G28" s="143" t="s">
        <v>596</v>
      </c>
      <c r="H28" s="144" t="s">
        <v>597</v>
      </c>
      <c r="I28" s="137">
        <v>150000</v>
      </c>
      <c r="J28" s="137">
        <v>7500</v>
      </c>
      <c r="K28" s="137">
        <v>7500</v>
      </c>
      <c r="L28" s="137">
        <v>0</v>
      </c>
      <c r="M28" s="137">
        <v>0</v>
      </c>
      <c r="N28" s="137">
        <v>0</v>
      </c>
      <c r="O28" s="137">
        <f t="shared" si="2"/>
        <v>135000</v>
      </c>
    </row>
    <row r="29" spans="1:15" s="138" customFormat="1" ht="95.1" customHeight="1" x14ac:dyDescent="0.2">
      <c r="A29" s="130">
        <v>17</v>
      </c>
      <c r="B29" s="162" t="s">
        <v>598</v>
      </c>
      <c r="C29" s="142" t="s">
        <v>599</v>
      </c>
      <c r="D29" s="141" t="s">
        <v>600</v>
      </c>
      <c r="E29" s="143" t="s">
        <v>115</v>
      </c>
      <c r="F29" s="143" t="s">
        <v>117</v>
      </c>
      <c r="G29" s="143" t="s">
        <v>601</v>
      </c>
      <c r="H29" s="144" t="s">
        <v>545</v>
      </c>
      <c r="I29" s="137">
        <v>10000</v>
      </c>
      <c r="J29" s="137">
        <v>500</v>
      </c>
      <c r="K29" s="137">
        <v>500</v>
      </c>
      <c r="L29" s="137">
        <v>0</v>
      </c>
      <c r="M29" s="137">
        <v>0</v>
      </c>
      <c r="N29" s="137">
        <v>0</v>
      </c>
      <c r="O29" s="137">
        <f t="shared" si="2"/>
        <v>9000</v>
      </c>
    </row>
    <row r="30" spans="1:15" s="138" customFormat="1" ht="95.1" customHeight="1" x14ac:dyDescent="0.2">
      <c r="A30" s="130">
        <v>18</v>
      </c>
      <c r="B30" s="162" t="s">
        <v>602</v>
      </c>
      <c r="C30" s="142" t="s">
        <v>603</v>
      </c>
      <c r="D30" s="141" t="s">
        <v>604</v>
      </c>
      <c r="E30" s="143" t="s">
        <v>605</v>
      </c>
      <c r="F30" s="143" t="s">
        <v>360</v>
      </c>
      <c r="G30" s="143" t="s">
        <v>606</v>
      </c>
      <c r="H30" s="144" t="s">
        <v>607</v>
      </c>
      <c r="I30" s="137">
        <v>313500</v>
      </c>
      <c r="J30" s="137">
        <v>15675</v>
      </c>
      <c r="K30" s="137">
        <v>15675</v>
      </c>
      <c r="L30" s="137">
        <v>0</v>
      </c>
      <c r="M30" s="137">
        <v>0</v>
      </c>
      <c r="N30" s="137">
        <v>0</v>
      </c>
      <c r="O30" s="137">
        <f t="shared" si="2"/>
        <v>282150</v>
      </c>
    </row>
    <row r="31" spans="1:15" s="138" customFormat="1" ht="185.1" customHeight="1" x14ac:dyDescent="0.2">
      <c r="A31" s="130">
        <v>19</v>
      </c>
      <c r="B31" s="162" t="s">
        <v>608</v>
      </c>
      <c r="C31" s="142" t="s">
        <v>609</v>
      </c>
      <c r="D31" s="141" t="s">
        <v>610</v>
      </c>
      <c r="E31" s="143" t="s">
        <v>199</v>
      </c>
      <c r="F31" s="143" t="s">
        <v>19</v>
      </c>
      <c r="G31" s="143" t="s">
        <v>611</v>
      </c>
      <c r="H31" s="144" t="s">
        <v>612</v>
      </c>
      <c r="I31" s="137">
        <v>570000</v>
      </c>
      <c r="J31" s="137">
        <v>28500</v>
      </c>
      <c r="K31" s="137">
        <v>28500</v>
      </c>
      <c r="L31" s="137">
        <v>0</v>
      </c>
      <c r="M31" s="137">
        <v>0</v>
      </c>
      <c r="N31" s="137">
        <v>0</v>
      </c>
      <c r="O31" s="137">
        <f t="shared" si="2"/>
        <v>513000</v>
      </c>
    </row>
    <row r="32" spans="1:15" s="138" customFormat="1" ht="132" customHeight="1" x14ac:dyDescent="0.2">
      <c r="A32" s="130">
        <v>20</v>
      </c>
      <c r="B32" s="162" t="s">
        <v>613</v>
      </c>
      <c r="C32" s="142" t="s">
        <v>614</v>
      </c>
      <c r="D32" s="141" t="s">
        <v>615</v>
      </c>
      <c r="E32" s="143" t="s">
        <v>616</v>
      </c>
      <c r="F32" s="143" t="s">
        <v>117</v>
      </c>
      <c r="G32" s="143" t="s">
        <v>617</v>
      </c>
      <c r="H32" s="144" t="s">
        <v>618</v>
      </c>
      <c r="I32" s="137">
        <v>20000</v>
      </c>
      <c r="J32" s="137">
        <v>0</v>
      </c>
      <c r="K32" s="137">
        <v>0</v>
      </c>
      <c r="L32" s="137">
        <v>5000</v>
      </c>
      <c r="M32" s="137">
        <v>15000</v>
      </c>
      <c r="N32" s="137">
        <v>0</v>
      </c>
      <c r="O32" s="137">
        <f t="shared" si="2"/>
        <v>0</v>
      </c>
    </row>
    <row r="33" spans="1:15" s="138" customFormat="1" ht="120" customHeight="1" x14ac:dyDescent="0.2">
      <c r="A33" s="130">
        <v>21</v>
      </c>
      <c r="B33" s="162" t="s">
        <v>619</v>
      </c>
      <c r="C33" s="142" t="s">
        <v>620</v>
      </c>
      <c r="D33" s="141" t="s">
        <v>621</v>
      </c>
      <c r="E33" s="143" t="s">
        <v>622</v>
      </c>
      <c r="F33" s="143" t="s">
        <v>360</v>
      </c>
      <c r="G33" s="143" t="s">
        <v>623</v>
      </c>
      <c r="H33" s="144" t="s">
        <v>624</v>
      </c>
      <c r="I33" s="137">
        <v>28359</v>
      </c>
      <c r="J33" s="137">
        <v>1417.95</v>
      </c>
      <c r="K33" s="137">
        <v>1417.95</v>
      </c>
      <c r="L33" s="137">
        <v>0</v>
      </c>
      <c r="M33" s="137">
        <v>0</v>
      </c>
      <c r="N33" s="137">
        <v>0</v>
      </c>
      <c r="O33" s="137">
        <f t="shared" si="2"/>
        <v>25523.1</v>
      </c>
    </row>
    <row r="34" spans="1:15" s="138" customFormat="1" ht="110.1" customHeight="1" x14ac:dyDescent="0.2">
      <c r="A34" s="130">
        <v>22</v>
      </c>
      <c r="B34" s="162" t="s">
        <v>625</v>
      </c>
      <c r="C34" s="142" t="s">
        <v>626</v>
      </c>
      <c r="D34" s="141" t="s">
        <v>627</v>
      </c>
      <c r="E34" s="143" t="s">
        <v>628</v>
      </c>
      <c r="F34" s="143" t="s">
        <v>161</v>
      </c>
      <c r="G34" s="143" t="s">
        <v>617</v>
      </c>
      <c r="H34" s="144" t="s">
        <v>629</v>
      </c>
      <c r="I34" s="137">
        <v>12425</v>
      </c>
      <c r="J34" s="137">
        <v>0</v>
      </c>
      <c r="K34" s="137">
        <v>0</v>
      </c>
      <c r="L34" s="137">
        <v>12425</v>
      </c>
      <c r="M34" s="137">
        <v>0</v>
      </c>
      <c r="N34" s="137">
        <v>0</v>
      </c>
      <c r="O34" s="137">
        <f t="shared" si="2"/>
        <v>0</v>
      </c>
    </row>
    <row r="35" spans="1:15" s="138" customFormat="1" ht="120" customHeight="1" x14ac:dyDescent="0.2">
      <c r="A35" s="130">
        <v>23</v>
      </c>
      <c r="B35" s="162" t="s">
        <v>630</v>
      </c>
      <c r="C35" s="142" t="s">
        <v>631</v>
      </c>
      <c r="D35" s="141" t="s">
        <v>632</v>
      </c>
      <c r="E35" s="143" t="s">
        <v>595</v>
      </c>
      <c r="F35" s="143" t="s">
        <v>161</v>
      </c>
      <c r="G35" s="143" t="s">
        <v>596</v>
      </c>
      <c r="H35" s="144" t="s">
        <v>633</v>
      </c>
      <c r="I35" s="137">
        <v>150000</v>
      </c>
      <c r="J35" s="137">
        <v>7500</v>
      </c>
      <c r="K35" s="137">
        <v>7500</v>
      </c>
      <c r="L35" s="137">
        <v>0</v>
      </c>
      <c r="M35" s="137">
        <v>0</v>
      </c>
      <c r="N35" s="137">
        <v>0</v>
      </c>
      <c r="O35" s="137">
        <f t="shared" si="2"/>
        <v>135000</v>
      </c>
    </row>
    <row r="36" spans="1:15" s="138" customFormat="1" ht="140.1" customHeight="1" x14ac:dyDescent="0.2">
      <c r="A36" s="130">
        <v>24</v>
      </c>
      <c r="B36" s="162" t="s">
        <v>630</v>
      </c>
      <c r="C36" s="142" t="s">
        <v>634</v>
      </c>
      <c r="D36" s="141" t="s">
        <v>635</v>
      </c>
      <c r="E36" s="163" t="s">
        <v>605</v>
      </c>
      <c r="F36" s="143" t="s">
        <v>360</v>
      </c>
      <c r="G36" s="143" t="s">
        <v>636</v>
      </c>
      <c r="H36" s="144" t="s">
        <v>637</v>
      </c>
      <c r="I36" s="137">
        <v>36000</v>
      </c>
      <c r="J36" s="137">
        <v>1800</v>
      </c>
      <c r="K36" s="137">
        <v>1800</v>
      </c>
      <c r="L36" s="137">
        <v>0</v>
      </c>
      <c r="M36" s="137">
        <v>0</v>
      </c>
      <c r="N36" s="137">
        <v>0</v>
      </c>
      <c r="O36" s="137">
        <f t="shared" si="2"/>
        <v>32400</v>
      </c>
    </row>
    <row r="37" spans="1:15" s="138" customFormat="1" ht="99.95" customHeight="1" x14ac:dyDescent="0.2">
      <c r="A37" s="130">
        <v>25</v>
      </c>
      <c r="B37" s="162" t="s">
        <v>638</v>
      </c>
      <c r="C37" s="142" t="s">
        <v>639</v>
      </c>
      <c r="D37" s="141" t="s">
        <v>640</v>
      </c>
      <c r="E37" s="163" t="s">
        <v>605</v>
      </c>
      <c r="F37" s="143" t="s">
        <v>360</v>
      </c>
      <c r="G37" s="143" t="s">
        <v>606</v>
      </c>
      <c r="H37" s="144" t="s">
        <v>641</v>
      </c>
      <c r="I37" s="137">
        <v>522500</v>
      </c>
      <c r="J37" s="137">
        <v>26125</v>
      </c>
      <c r="K37" s="137">
        <v>26125</v>
      </c>
      <c r="L37" s="137">
        <v>0</v>
      </c>
      <c r="M37" s="137">
        <v>0</v>
      </c>
      <c r="N37" s="137">
        <v>0</v>
      </c>
      <c r="O37" s="137">
        <f t="shared" si="2"/>
        <v>470250</v>
      </c>
    </row>
    <row r="38" spans="1:15" s="138" customFormat="1" ht="111.95" customHeight="1" x14ac:dyDescent="0.2">
      <c r="A38" s="130">
        <v>26</v>
      </c>
      <c r="B38" s="162">
        <v>241947</v>
      </c>
      <c r="C38" s="142" t="s">
        <v>642</v>
      </c>
      <c r="D38" s="141" t="s">
        <v>643</v>
      </c>
      <c r="E38" s="143" t="s">
        <v>622</v>
      </c>
      <c r="F38" s="143" t="s">
        <v>360</v>
      </c>
      <c r="G38" s="143" t="s">
        <v>623</v>
      </c>
      <c r="H38" s="144" t="s">
        <v>644</v>
      </c>
      <c r="I38" s="137">
        <v>28359</v>
      </c>
      <c r="J38" s="137">
        <v>1417.95</v>
      </c>
      <c r="K38" s="137">
        <v>1417.95</v>
      </c>
      <c r="L38" s="137">
        <v>0</v>
      </c>
      <c r="M38" s="137">
        <v>0</v>
      </c>
      <c r="N38" s="137">
        <v>0</v>
      </c>
      <c r="O38" s="137">
        <f t="shared" si="2"/>
        <v>25523.1</v>
      </c>
    </row>
    <row r="39" spans="1:15" s="138" customFormat="1" ht="99.95" customHeight="1" x14ac:dyDescent="0.2">
      <c r="A39" s="130">
        <v>27</v>
      </c>
      <c r="B39" s="162">
        <v>241947</v>
      </c>
      <c r="C39" s="142" t="s">
        <v>645</v>
      </c>
      <c r="D39" s="141" t="s">
        <v>646</v>
      </c>
      <c r="E39" s="163" t="s">
        <v>647</v>
      </c>
      <c r="F39" s="143" t="s">
        <v>161</v>
      </c>
      <c r="G39" s="143" t="s">
        <v>617</v>
      </c>
      <c r="H39" s="144" t="s">
        <v>648</v>
      </c>
      <c r="I39" s="137">
        <v>35160</v>
      </c>
      <c r="J39" s="137">
        <v>0</v>
      </c>
      <c r="K39" s="137">
        <v>0</v>
      </c>
      <c r="L39" s="137">
        <v>8790</v>
      </c>
      <c r="M39" s="137">
        <v>26370</v>
      </c>
      <c r="N39" s="137">
        <v>0</v>
      </c>
      <c r="O39" s="137">
        <f t="shared" si="2"/>
        <v>0</v>
      </c>
    </row>
    <row r="40" spans="1:15" s="138" customFormat="1" ht="99.95" customHeight="1" x14ac:dyDescent="0.2">
      <c r="A40" s="130">
        <v>28</v>
      </c>
      <c r="B40" s="162">
        <v>241954</v>
      </c>
      <c r="C40" s="142" t="s">
        <v>649</v>
      </c>
      <c r="D40" s="141" t="s">
        <v>650</v>
      </c>
      <c r="E40" s="163" t="s">
        <v>651</v>
      </c>
      <c r="F40" s="143" t="s">
        <v>161</v>
      </c>
      <c r="G40" s="143" t="s">
        <v>617</v>
      </c>
      <c r="H40" s="144" t="s">
        <v>652</v>
      </c>
      <c r="I40" s="137">
        <v>8525</v>
      </c>
      <c r="J40" s="137">
        <v>0</v>
      </c>
      <c r="K40" s="137">
        <v>0</v>
      </c>
      <c r="L40" s="137">
        <v>8525</v>
      </c>
      <c r="M40" s="137">
        <v>0</v>
      </c>
      <c r="N40" s="137">
        <v>0</v>
      </c>
      <c r="O40" s="137">
        <f t="shared" si="2"/>
        <v>0</v>
      </c>
    </row>
    <row r="41" spans="1:15" s="138" customFormat="1" ht="99.95" customHeight="1" x14ac:dyDescent="0.2">
      <c r="A41" s="130">
        <v>29</v>
      </c>
      <c r="B41" s="162">
        <v>241956</v>
      </c>
      <c r="C41" s="142" t="s">
        <v>653</v>
      </c>
      <c r="D41" s="141" t="s">
        <v>654</v>
      </c>
      <c r="E41" s="163" t="s">
        <v>655</v>
      </c>
      <c r="F41" s="143" t="s">
        <v>117</v>
      </c>
      <c r="G41" s="143" t="s">
        <v>617</v>
      </c>
      <c r="H41" s="144" t="s">
        <v>656</v>
      </c>
      <c r="I41" s="137">
        <v>13600</v>
      </c>
      <c r="J41" s="137">
        <v>0</v>
      </c>
      <c r="K41" s="137">
        <v>0</v>
      </c>
      <c r="L41" s="137">
        <v>3400</v>
      </c>
      <c r="M41" s="137">
        <v>10200</v>
      </c>
      <c r="N41" s="137">
        <v>0</v>
      </c>
      <c r="O41" s="137">
        <f t="shared" si="2"/>
        <v>0</v>
      </c>
    </row>
    <row r="42" spans="1:15" s="138" customFormat="1" ht="120" customHeight="1" x14ac:dyDescent="0.2">
      <c r="A42" s="130">
        <v>30</v>
      </c>
      <c r="B42" s="162" t="s">
        <v>657</v>
      </c>
      <c r="C42" s="142" t="s">
        <v>658</v>
      </c>
      <c r="D42" s="141" t="s">
        <v>659</v>
      </c>
      <c r="E42" s="163" t="s">
        <v>622</v>
      </c>
      <c r="F42" s="143" t="s">
        <v>360</v>
      </c>
      <c r="G42" s="143" t="s">
        <v>623</v>
      </c>
      <c r="H42" s="144" t="s">
        <v>660</v>
      </c>
      <c r="I42" s="137">
        <v>28440</v>
      </c>
      <c r="J42" s="137">
        <v>1422</v>
      </c>
      <c r="K42" s="137">
        <v>1422</v>
      </c>
      <c r="L42" s="137"/>
      <c r="M42" s="137"/>
      <c r="N42" s="137"/>
      <c r="O42" s="137">
        <f t="shared" si="2"/>
        <v>25596</v>
      </c>
    </row>
    <row r="43" spans="1:15" s="138" customFormat="1" ht="147.94999999999999" customHeight="1" x14ac:dyDescent="0.2">
      <c r="A43" s="130">
        <v>31</v>
      </c>
      <c r="B43" s="162" t="s">
        <v>661</v>
      </c>
      <c r="C43" s="142" t="s">
        <v>662</v>
      </c>
      <c r="D43" s="141" t="s">
        <v>663</v>
      </c>
      <c r="E43" s="163" t="s">
        <v>199</v>
      </c>
      <c r="F43" s="143" t="s">
        <v>19</v>
      </c>
      <c r="G43" s="143" t="s">
        <v>664</v>
      </c>
      <c r="H43" s="144" t="s">
        <v>665</v>
      </c>
      <c r="I43" s="137">
        <v>75000</v>
      </c>
      <c r="J43" s="137">
        <v>3750</v>
      </c>
      <c r="K43" s="137">
        <v>3750</v>
      </c>
      <c r="L43" s="137">
        <v>0</v>
      </c>
      <c r="M43" s="137">
        <v>0</v>
      </c>
      <c r="N43" s="137">
        <v>0</v>
      </c>
      <c r="O43" s="137">
        <f t="shared" si="2"/>
        <v>67500</v>
      </c>
    </row>
    <row r="44" spans="1:15" s="138" customFormat="1" ht="99.95" customHeight="1" x14ac:dyDescent="0.2">
      <c r="A44" s="130">
        <v>32</v>
      </c>
      <c r="B44" s="162" t="s">
        <v>666</v>
      </c>
      <c r="C44" s="142" t="s">
        <v>667</v>
      </c>
      <c r="D44" s="141" t="s">
        <v>668</v>
      </c>
      <c r="E44" s="143" t="s">
        <v>115</v>
      </c>
      <c r="F44" s="143" t="s">
        <v>117</v>
      </c>
      <c r="G44" s="143" t="s">
        <v>303</v>
      </c>
      <c r="H44" s="144" t="s">
        <v>545</v>
      </c>
      <c r="I44" s="137">
        <v>60000</v>
      </c>
      <c r="J44" s="137">
        <v>3000</v>
      </c>
      <c r="K44" s="137">
        <v>3000</v>
      </c>
      <c r="L44" s="137">
        <v>0</v>
      </c>
      <c r="M44" s="137">
        <v>0</v>
      </c>
      <c r="N44" s="137">
        <v>0</v>
      </c>
      <c r="O44" s="137">
        <f t="shared" si="2"/>
        <v>54000</v>
      </c>
    </row>
    <row r="45" spans="1:15" s="138" customFormat="1" ht="99.95" customHeight="1" x14ac:dyDescent="0.2">
      <c r="A45" s="130">
        <v>33</v>
      </c>
      <c r="B45" s="162" t="s">
        <v>537</v>
      </c>
      <c r="C45" s="142" t="s">
        <v>669</v>
      </c>
      <c r="D45" s="141" t="s">
        <v>670</v>
      </c>
      <c r="E45" s="143" t="s">
        <v>115</v>
      </c>
      <c r="F45" s="143" t="s">
        <v>117</v>
      </c>
      <c r="G45" s="143" t="s">
        <v>303</v>
      </c>
      <c r="H45" s="144" t="s">
        <v>545</v>
      </c>
      <c r="I45" s="137">
        <v>44000</v>
      </c>
      <c r="J45" s="137">
        <v>2200</v>
      </c>
      <c r="K45" s="137">
        <v>2200</v>
      </c>
      <c r="L45" s="137">
        <v>0</v>
      </c>
      <c r="M45" s="137">
        <v>0</v>
      </c>
      <c r="N45" s="137">
        <v>0</v>
      </c>
      <c r="O45" s="137">
        <f t="shared" si="2"/>
        <v>39600</v>
      </c>
    </row>
    <row r="46" spans="1:15" s="138" customFormat="1" ht="99.95" customHeight="1" x14ac:dyDescent="0.2">
      <c r="A46" s="130">
        <v>34</v>
      </c>
      <c r="B46" s="162" t="s">
        <v>671</v>
      </c>
      <c r="C46" s="142" t="s">
        <v>672</v>
      </c>
      <c r="D46" s="141" t="s">
        <v>673</v>
      </c>
      <c r="E46" s="143" t="s">
        <v>115</v>
      </c>
      <c r="F46" s="143" t="s">
        <v>117</v>
      </c>
      <c r="G46" s="143" t="s">
        <v>303</v>
      </c>
      <c r="H46" s="144" t="s">
        <v>545</v>
      </c>
      <c r="I46" s="137">
        <v>40000</v>
      </c>
      <c r="J46" s="137">
        <v>2000</v>
      </c>
      <c r="K46" s="137">
        <v>2000</v>
      </c>
      <c r="L46" s="137">
        <v>0</v>
      </c>
      <c r="M46" s="137">
        <v>0</v>
      </c>
      <c r="N46" s="137">
        <v>0</v>
      </c>
      <c r="O46" s="137">
        <f t="shared" si="2"/>
        <v>36000</v>
      </c>
    </row>
    <row r="47" spans="1:15" s="138" customFormat="1" ht="99.95" customHeight="1" x14ac:dyDescent="0.2">
      <c r="A47" s="130">
        <v>35</v>
      </c>
      <c r="B47" s="162" t="s">
        <v>674</v>
      </c>
      <c r="C47" s="142" t="s">
        <v>675</v>
      </c>
      <c r="D47" s="141" t="s">
        <v>676</v>
      </c>
      <c r="E47" s="143" t="s">
        <v>115</v>
      </c>
      <c r="F47" s="143" t="s">
        <v>117</v>
      </c>
      <c r="G47" s="143" t="s">
        <v>441</v>
      </c>
      <c r="H47" s="144" t="s">
        <v>545</v>
      </c>
      <c r="I47" s="137">
        <v>60000</v>
      </c>
      <c r="J47" s="137">
        <v>3000</v>
      </c>
      <c r="K47" s="137">
        <v>3000</v>
      </c>
      <c r="L47" s="137">
        <v>0</v>
      </c>
      <c r="M47" s="137">
        <v>0</v>
      </c>
      <c r="N47" s="137">
        <v>0</v>
      </c>
      <c r="O47" s="137">
        <f t="shared" si="2"/>
        <v>54000</v>
      </c>
    </row>
    <row r="48" spans="1:15" s="138" customFormat="1" ht="99.95" customHeight="1" x14ac:dyDescent="0.2">
      <c r="A48" s="130">
        <v>36</v>
      </c>
      <c r="B48" s="162" t="s">
        <v>677</v>
      </c>
      <c r="C48" s="142" t="s">
        <v>678</v>
      </c>
      <c r="D48" s="141" t="s">
        <v>679</v>
      </c>
      <c r="E48" s="143" t="s">
        <v>115</v>
      </c>
      <c r="F48" s="143" t="s">
        <v>117</v>
      </c>
      <c r="G48" s="143" t="s">
        <v>680</v>
      </c>
      <c r="H48" s="144" t="s">
        <v>545</v>
      </c>
      <c r="I48" s="137">
        <v>386000</v>
      </c>
      <c r="J48" s="137">
        <v>19300</v>
      </c>
      <c r="K48" s="137">
        <v>19300</v>
      </c>
      <c r="L48" s="137">
        <v>0</v>
      </c>
      <c r="M48" s="137">
        <v>0</v>
      </c>
      <c r="N48" s="137">
        <v>0</v>
      </c>
      <c r="O48" s="137">
        <f t="shared" si="2"/>
        <v>347400</v>
      </c>
    </row>
    <row r="49" spans="1:15" ht="20.100000000000001" customHeight="1" x14ac:dyDescent="0.3">
      <c r="A49" s="124" t="s">
        <v>447</v>
      </c>
      <c r="B49" s="160"/>
      <c r="C49" s="126"/>
      <c r="D49" s="126"/>
      <c r="E49" s="127"/>
      <c r="F49" s="128"/>
      <c r="G49" s="128"/>
      <c r="H49" s="128"/>
      <c r="I49" s="129">
        <f>SUM(I50:I72)</f>
        <v>5100123.68</v>
      </c>
      <c r="J49" s="129">
        <f t="shared" ref="J49:O49" si="3">SUM(J50:J72)</f>
        <v>209814.83</v>
      </c>
      <c r="K49" s="129">
        <f t="shared" si="3"/>
        <v>209814.83</v>
      </c>
      <c r="L49" s="129">
        <f t="shared" si="3"/>
        <v>177684.2</v>
      </c>
      <c r="M49" s="129">
        <f t="shared" si="3"/>
        <v>177684.2</v>
      </c>
      <c r="N49" s="129">
        <f t="shared" si="3"/>
        <v>0</v>
      </c>
      <c r="O49" s="129">
        <f t="shared" si="3"/>
        <v>4325125.62</v>
      </c>
    </row>
    <row r="50" spans="1:15" s="138" customFormat="1" ht="115.5" customHeight="1" x14ac:dyDescent="0.2">
      <c r="A50" s="164">
        <v>1</v>
      </c>
      <c r="B50" s="165" t="s">
        <v>532</v>
      </c>
      <c r="C50" s="166" t="s">
        <v>681</v>
      </c>
      <c r="D50" s="167" t="s">
        <v>682</v>
      </c>
      <c r="E50" s="168" t="s">
        <v>170</v>
      </c>
      <c r="F50" s="168" t="s">
        <v>22</v>
      </c>
      <c r="G50" s="168" t="s">
        <v>502</v>
      </c>
      <c r="H50" s="169" t="s">
        <v>683</v>
      </c>
      <c r="I50" s="170">
        <v>30000</v>
      </c>
      <c r="J50" s="170">
        <v>0</v>
      </c>
      <c r="K50" s="170">
        <v>0</v>
      </c>
      <c r="L50" s="170">
        <v>0</v>
      </c>
      <c r="M50" s="170">
        <v>0</v>
      </c>
      <c r="N50" s="145" t="s">
        <v>311</v>
      </c>
      <c r="O50" s="170">
        <f t="shared" ref="O50:O72" si="4">+I50-(SUM(J50:N50))</f>
        <v>30000</v>
      </c>
    </row>
    <row r="51" spans="1:15" s="138" customFormat="1" ht="95.1" customHeight="1" x14ac:dyDescent="0.2">
      <c r="A51" s="139">
        <v>2</v>
      </c>
      <c r="B51" s="162" t="s">
        <v>572</v>
      </c>
      <c r="C51" s="142" t="s">
        <v>684</v>
      </c>
      <c r="D51" s="141" t="s">
        <v>685</v>
      </c>
      <c r="E51" s="143" t="s">
        <v>686</v>
      </c>
      <c r="F51" s="143" t="s">
        <v>512</v>
      </c>
      <c r="G51" s="143" t="s">
        <v>687</v>
      </c>
      <c r="H51" s="144" t="s">
        <v>688</v>
      </c>
      <c r="I51" s="137">
        <v>79800</v>
      </c>
      <c r="J51" s="137">
        <v>39900</v>
      </c>
      <c r="K51" s="137">
        <v>39900</v>
      </c>
      <c r="L51" s="137">
        <v>0</v>
      </c>
      <c r="M51" s="137">
        <v>0</v>
      </c>
      <c r="N51" s="137">
        <v>0</v>
      </c>
      <c r="O51" s="137">
        <f t="shared" si="4"/>
        <v>0</v>
      </c>
    </row>
    <row r="52" spans="1:15" s="138" customFormat="1" ht="95.1" customHeight="1" x14ac:dyDescent="0.2">
      <c r="A52" s="139">
        <v>3</v>
      </c>
      <c r="B52" s="162" t="s">
        <v>572</v>
      </c>
      <c r="C52" s="142" t="s">
        <v>689</v>
      </c>
      <c r="D52" s="141" t="s">
        <v>690</v>
      </c>
      <c r="E52" s="143" t="s">
        <v>451</v>
      </c>
      <c r="F52" s="143" t="s">
        <v>22</v>
      </c>
      <c r="G52" s="143" t="s">
        <v>457</v>
      </c>
      <c r="H52" s="144" t="s">
        <v>691</v>
      </c>
      <c r="I52" s="137">
        <v>396000</v>
      </c>
      <c r="J52" s="137">
        <v>19800</v>
      </c>
      <c r="K52" s="137">
        <v>19800</v>
      </c>
      <c r="L52" s="137">
        <v>0</v>
      </c>
      <c r="M52" s="137">
        <v>0</v>
      </c>
      <c r="N52" s="137">
        <v>0</v>
      </c>
      <c r="O52" s="137">
        <f t="shared" si="4"/>
        <v>356400</v>
      </c>
    </row>
    <row r="53" spans="1:15" s="138" customFormat="1" ht="95.1" customHeight="1" x14ac:dyDescent="0.2">
      <c r="A53" s="139">
        <v>4</v>
      </c>
      <c r="B53" s="162" t="s">
        <v>572</v>
      </c>
      <c r="C53" s="142" t="s">
        <v>692</v>
      </c>
      <c r="D53" s="141" t="s">
        <v>693</v>
      </c>
      <c r="E53" s="143" t="s">
        <v>388</v>
      </c>
      <c r="F53" s="143" t="s">
        <v>22</v>
      </c>
      <c r="G53" s="143" t="s">
        <v>694</v>
      </c>
      <c r="H53" s="144" t="s">
        <v>695</v>
      </c>
      <c r="I53" s="137">
        <v>71155</v>
      </c>
      <c r="J53" s="137"/>
      <c r="K53" s="137"/>
      <c r="L53" s="137">
        <v>20950</v>
      </c>
      <c r="M53" s="137">
        <v>20950</v>
      </c>
      <c r="N53" s="137">
        <v>0</v>
      </c>
      <c r="O53" s="137">
        <f t="shared" si="4"/>
        <v>29255</v>
      </c>
    </row>
    <row r="54" spans="1:15" s="138" customFormat="1" ht="180" customHeight="1" x14ac:dyDescent="0.2">
      <c r="A54" s="139">
        <v>5</v>
      </c>
      <c r="B54" s="162" t="s">
        <v>696</v>
      </c>
      <c r="C54" s="142" t="s">
        <v>697</v>
      </c>
      <c r="D54" s="141" t="s">
        <v>698</v>
      </c>
      <c r="E54" s="143" t="s">
        <v>699</v>
      </c>
      <c r="F54" s="143" t="s">
        <v>22</v>
      </c>
      <c r="G54" s="143" t="s">
        <v>700</v>
      </c>
      <c r="H54" s="144" t="s">
        <v>701</v>
      </c>
      <c r="I54" s="137">
        <v>134700</v>
      </c>
      <c r="J54" s="137">
        <v>0</v>
      </c>
      <c r="K54" s="137">
        <v>0</v>
      </c>
      <c r="L54" s="137">
        <v>6122.7</v>
      </c>
      <c r="M54" s="137">
        <v>6122.7</v>
      </c>
      <c r="N54" s="137"/>
      <c r="O54" s="137">
        <f t="shared" si="4"/>
        <v>122454.6</v>
      </c>
    </row>
    <row r="55" spans="1:15" s="138" customFormat="1" ht="100.5" customHeight="1" x14ac:dyDescent="0.2">
      <c r="A55" s="139">
        <v>6</v>
      </c>
      <c r="B55" s="162" t="s">
        <v>702</v>
      </c>
      <c r="C55" s="142" t="s">
        <v>703</v>
      </c>
      <c r="D55" s="141" t="s">
        <v>704</v>
      </c>
      <c r="E55" s="143" t="s">
        <v>705</v>
      </c>
      <c r="F55" s="143" t="s">
        <v>706</v>
      </c>
      <c r="G55" s="143" t="s">
        <v>707</v>
      </c>
      <c r="H55" s="144" t="s">
        <v>708</v>
      </c>
      <c r="I55" s="137">
        <v>377400</v>
      </c>
      <c r="J55" s="137">
        <v>18870</v>
      </c>
      <c r="K55" s="137">
        <v>18870</v>
      </c>
      <c r="L55" s="137">
        <v>0</v>
      </c>
      <c r="M55" s="137">
        <v>0</v>
      </c>
      <c r="N55" s="137">
        <v>0</v>
      </c>
      <c r="O55" s="137">
        <f t="shared" si="4"/>
        <v>339660</v>
      </c>
    </row>
    <row r="56" spans="1:15" s="138" customFormat="1" ht="129.94999999999999" customHeight="1" x14ac:dyDescent="0.2">
      <c r="A56" s="139">
        <v>7</v>
      </c>
      <c r="B56" s="162" t="s">
        <v>709</v>
      </c>
      <c r="C56" s="142" t="s">
        <v>710</v>
      </c>
      <c r="D56" s="141" t="s">
        <v>711</v>
      </c>
      <c r="E56" s="143" t="s">
        <v>712</v>
      </c>
      <c r="F56" s="143" t="s">
        <v>22</v>
      </c>
      <c r="G56" s="143" t="s">
        <v>713</v>
      </c>
      <c r="H56" s="144" t="s">
        <v>714</v>
      </c>
      <c r="I56" s="137">
        <v>235400</v>
      </c>
      <c r="J56" s="137">
        <v>11770</v>
      </c>
      <c r="K56" s="137">
        <v>11770</v>
      </c>
      <c r="L56" s="137">
        <v>0</v>
      </c>
      <c r="M56" s="137">
        <v>0</v>
      </c>
      <c r="N56" s="137">
        <v>0</v>
      </c>
      <c r="O56" s="137">
        <f t="shared" si="4"/>
        <v>211860</v>
      </c>
    </row>
    <row r="57" spans="1:15" s="138" customFormat="1" ht="183" customHeight="1" x14ac:dyDescent="0.2">
      <c r="A57" s="139">
        <v>8</v>
      </c>
      <c r="B57" s="162" t="s">
        <v>715</v>
      </c>
      <c r="C57" s="142" t="s">
        <v>716</v>
      </c>
      <c r="D57" s="141" t="s">
        <v>717</v>
      </c>
      <c r="E57" s="143" t="s">
        <v>699</v>
      </c>
      <c r="F57" s="143" t="s">
        <v>22</v>
      </c>
      <c r="G57" s="143" t="s">
        <v>718</v>
      </c>
      <c r="H57" s="144" t="s">
        <v>719</v>
      </c>
      <c r="I57" s="137">
        <v>245500</v>
      </c>
      <c r="J57" s="137">
        <v>0</v>
      </c>
      <c r="K57" s="137">
        <v>0</v>
      </c>
      <c r="L57" s="137">
        <v>10204.5</v>
      </c>
      <c r="M57" s="137">
        <v>10204.5</v>
      </c>
      <c r="N57" s="137">
        <v>0</v>
      </c>
      <c r="O57" s="137">
        <f t="shared" si="4"/>
        <v>225091</v>
      </c>
    </row>
    <row r="58" spans="1:15" s="138" customFormat="1" ht="146.1" customHeight="1" x14ac:dyDescent="0.2">
      <c r="A58" s="139">
        <v>9</v>
      </c>
      <c r="B58" s="162" t="s">
        <v>720</v>
      </c>
      <c r="C58" s="142" t="s">
        <v>721</v>
      </c>
      <c r="D58" s="141" t="s">
        <v>722</v>
      </c>
      <c r="E58" s="143" t="s">
        <v>723</v>
      </c>
      <c r="F58" s="143" t="s">
        <v>22</v>
      </c>
      <c r="G58" s="143" t="s">
        <v>724</v>
      </c>
      <c r="H58" s="144" t="s">
        <v>725</v>
      </c>
      <c r="I58" s="137">
        <v>79998</v>
      </c>
      <c r="J58" s="137">
        <v>39999</v>
      </c>
      <c r="K58" s="137">
        <v>39999</v>
      </c>
      <c r="L58" s="137">
        <v>0</v>
      </c>
      <c r="M58" s="137">
        <v>0</v>
      </c>
      <c r="N58" s="137">
        <v>0</v>
      </c>
      <c r="O58" s="137">
        <f t="shared" si="4"/>
        <v>0</v>
      </c>
    </row>
    <row r="59" spans="1:15" s="138" customFormat="1" ht="99.95" customHeight="1" x14ac:dyDescent="0.2">
      <c r="A59" s="139">
        <v>10</v>
      </c>
      <c r="B59" s="162" t="s">
        <v>720</v>
      </c>
      <c r="C59" s="142" t="s">
        <v>726</v>
      </c>
      <c r="D59" s="141" t="s">
        <v>727</v>
      </c>
      <c r="E59" s="143" t="s">
        <v>728</v>
      </c>
      <c r="F59" s="143" t="s">
        <v>22</v>
      </c>
      <c r="G59" s="143" t="s">
        <v>718</v>
      </c>
      <c r="H59" s="144" t="s">
        <v>729</v>
      </c>
      <c r="I59" s="137">
        <v>450000</v>
      </c>
      <c r="J59" s="137">
        <v>0</v>
      </c>
      <c r="K59" s="137">
        <v>0</v>
      </c>
      <c r="L59" s="171" t="s">
        <v>730</v>
      </c>
      <c r="M59" s="171" t="s">
        <v>730</v>
      </c>
      <c r="N59" s="137">
        <v>0</v>
      </c>
      <c r="O59" s="137">
        <f t="shared" si="4"/>
        <v>450000</v>
      </c>
    </row>
    <row r="60" spans="1:15" s="138" customFormat="1" ht="99.95" customHeight="1" x14ac:dyDescent="0.2">
      <c r="A60" s="139">
        <v>11</v>
      </c>
      <c r="B60" s="162" t="s">
        <v>630</v>
      </c>
      <c r="C60" s="142" t="s">
        <v>731</v>
      </c>
      <c r="D60" s="141" t="s">
        <v>732</v>
      </c>
      <c r="E60" s="143" t="s">
        <v>733</v>
      </c>
      <c r="F60" s="143" t="s">
        <v>512</v>
      </c>
      <c r="G60" s="143" t="s">
        <v>734</v>
      </c>
      <c r="H60" s="144" t="s">
        <v>735</v>
      </c>
      <c r="I60" s="137">
        <v>189260</v>
      </c>
      <c r="J60" s="137">
        <v>0</v>
      </c>
      <c r="K60" s="137">
        <v>0</v>
      </c>
      <c r="L60" s="171">
        <v>15000</v>
      </c>
      <c r="M60" s="171">
        <v>15000</v>
      </c>
      <c r="N60" s="137">
        <v>0</v>
      </c>
      <c r="O60" s="137">
        <f t="shared" si="4"/>
        <v>159260</v>
      </c>
    </row>
    <row r="61" spans="1:15" s="138" customFormat="1" ht="120" customHeight="1" x14ac:dyDescent="0.2">
      <c r="A61" s="139">
        <v>12</v>
      </c>
      <c r="B61" s="162" t="s">
        <v>630</v>
      </c>
      <c r="C61" s="142" t="s">
        <v>736</v>
      </c>
      <c r="D61" s="141" t="s">
        <v>737</v>
      </c>
      <c r="E61" s="143" t="s">
        <v>738</v>
      </c>
      <c r="F61" s="143" t="s">
        <v>739</v>
      </c>
      <c r="G61" s="143" t="s">
        <v>734</v>
      </c>
      <c r="H61" s="144" t="s">
        <v>740</v>
      </c>
      <c r="I61" s="137">
        <v>204080</v>
      </c>
      <c r="J61" s="137">
        <v>0</v>
      </c>
      <c r="K61" s="137">
        <v>0</v>
      </c>
      <c r="L61" s="171">
        <v>15000</v>
      </c>
      <c r="M61" s="171">
        <v>15000</v>
      </c>
      <c r="N61" s="137">
        <v>0</v>
      </c>
      <c r="O61" s="137">
        <f t="shared" si="4"/>
        <v>174080</v>
      </c>
    </row>
    <row r="62" spans="1:15" s="138" customFormat="1" ht="99.95" customHeight="1" x14ac:dyDescent="0.2">
      <c r="A62" s="139">
        <v>13</v>
      </c>
      <c r="B62" s="162" t="s">
        <v>638</v>
      </c>
      <c r="C62" s="142" t="s">
        <v>741</v>
      </c>
      <c r="D62" s="141" t="s">
        <v>742</v>
      </c>
      <c r="E62" s="143" t="s">
        <v>388</v>
      </c>
      <c r="F62" s="143" t="s">
        <v>22</v>
      </c>
      <c r="G62" s="143" t="s">
        <v>694</v>
      </c>
      <c r="H62" s="144" t="s">
        <v>743</v>
      </c>
      <c r="I62" s="137">
        <v>28500</v>
      </c>
      <c r="J62" s="137">
        <v>0</v>
      </c>
      <c r="K62" s="137">
        <v>0</v>
      </c>
      <c r="L62" s="171" t="s">
        <v>730</v>
      </c>
      <c r="M62" s="171" t="s">
        <v>730</v>
      </c>
      <c r="N62" s="137">
        <v>0</v>
      </c>
      <c r="O62" s="137">
        <f t="shared" si="4"/>
        <v>28500</v>
      </c>
    </row>
    <row r="63" spans="1:15" s="138" customFormat="1" ht="114.95" customHeight="1" x14ac:dyDescent="0.2">
      <c r="A63" s="139">
        <v>14</v>
      </c>
      <c r="B63" s="162" t="s">
        <v>657</v>
      </c>
      <c r="C63" s="142" t="s">
        <v>744</v>
      </c>
      <c r="D63" s="141" t="s">
        <v>745</v>
      </c>
      <c r="E63" s="143" t="s">
        <v>746</v>
      </c>
      <c r="F63" s="143" t="s">
        <v>22</v>
      </c>
      <c r="G63" s="143" t="s">
        <v>513</v>
      </c>
      <c r="H63" s="144" t="s">
        <v>747</v>
      </c>
      <c r="I63" s="137">
        <v>18000</v>
      </c>
      <c r="J63" s="137">
        <v>0</v>
      </c>
      <c r="K63" s="137">
        <v>0</v>
      </c>
      <c r="L63" s="171" t="s">
        <v>748</v>
      </c>
      <c r="M63" s="171" t="s">
        <v>748</v>
      </c>
      <c r="N63" s="137"/>
      <c r="O63" s="137">
        <f t="shared" si="4"/>
        <v>18000</v>
      </c>
    </row>
    <row r="64" spans="1:15" s="138" customFormat="1" ht="165" customHeight="1" x14ac:dyDescent="0.2">
      <c r="A64" s="139">
        <v>15</v>
      </c>
      <c r="B64" s="162" t="s">
        <v>749</v>
      </c>
      <c r="C64" s="142" t="s">
        <v>750</v>
      </c>
      <c r="D64" s="141" t="s">
        <v>751</v>
      </c>
      <c r="E64" s="143" t="s">
        <v>752</v>
      </c>
      <c r="F64" s="143" t="s">
        <v>706</v>
      </c>
      <c r="G64" s="143" t="s">
        <v>753</v>
      </c>
      <c r="H64" s="144" t="s">
        <v>754</v>
      </c>
      <c r="I64" s="137">
        <v>72814</v>
      </c>
      <c r="J64" s="137"/>
      <c r="K64" s="137"/>
      <c r="L64" s="137">
        <v>36407</v>
      </c>
      <c r="M64" s="137">
        <v>36407</v>
      </c>
      <c r="N64" s="137"/>
      <c r="O64" s="137">
        <f t="shared" si="4"/>
        <v>0</v>
      </c>
    </row>
    <row r="65" spans="1:15" s="138" customFormat="1" ht="99.95" customHeight="1" x14ac:dyDescent="0.2">
      <c r="A65" s="139">
        <v>16</v>
      </c>
      <c r="B65" s="162" t="s">
        <v>755</v>
      </c>
      <c r="C65" s="142" t="s">
        <v>756</v>
      </c>
      <c r="D65" s="141" t="s">
        <v>757</v>
      </c>
      <c r="E65" s="143" t="s">
        <v>728</v>
      </c>
      <c r="F65" s="143" t="s">
        <v>22</v>
      </c>
      <c r="G65" s="143" t="s">
        <v>718</v>
      </c>
      <c r="H65" s="144" t="s">
        <v>758</v>
      </c>
      <c r="I65" s="137">
        <v>750000</v>
      </c>
      <c r="J65" s="137">
        <v>0</v>
      </c>
      <c r="K65" s="137">
        <v>0</v>
      </c>
      <c r="L65" s="171" t="s">
        <v>730</v>
      </c>
      <c r="M65" s="171" t="s">
        <v>730</v>
      </c>
      <c r="N65" s="137"/>
      <c r="O65" s="137">
        <f t="shared" si="4"/>
        <v>750000</v>
      </c>
    </row>
    <row r="66" spans="1:15" s="138" customFormat="1" ht="116.1" customHeight="1" x14ac:dyDescent="0.2">
      <c r="A66" s="139">
        <v>17</v>
      </c>
      <c r="B66" s="162" t="s">
        <v>759</v>
      </c>
      <c r="C66" s="142" t="s">
        <v>760</v>
      </c>
      <c r="D66" s="141" t="s">
        <v>761</v>
      </c>
      <c r="E66" s="143" t="s">
        <v>451</v>
      </c>
      <c r="F66" s="143" t="s">
        <v>22</v>
      </c>
      <c r="G66" s="143" t="s">
        <v>452</v>
      </c>
      <c r="H66" s="144" t="s">
        <v>762</v>
      </c>
      <c r="I66" s="137">
        <v>350570.04</v>
      </c>
      <c r="J66" s="137">
        <v>17528.5</v>
      </c>
      <c r="K66" s="137">
        <v>17528.5</v>
      </c>
      <c r="L66" s="171">
        <v>0</v>
      </c>
      <c r="M66" s="171">
        <v>0</v>
      </c>
      <c r="N66" s="137">
        <v>0</v>
      </c>
      <c r="O66" s="137">
        <f t="shared" si="4"/>
        <v>315513.03999999998</v>
      </c>
    </row>
    <row r="67" spans="1:15" s="138" customFormat="1" ht="83.1" customHeight="1" x14ac:dyDescent="0.2">
      <c r="A67" s="139">
        <v>18</v>
      </c>
      <c r="B67" s="162" t="s">
        <v>759</v>
      </c>
      <c r="C67" s="142" t="s">
        <v>763</v>
      </c>
      <c r="D67" s="141" t="s">
        <v>764</v>
      </c>
      <c r="E67" s="143" t="s">
        <v>451</v>
      </c>
      <c r="F67" s="143" t="s">
        <v>22</v>
      </c>
      <c r="G67" s="143" t="s">
        <v>452</v>
      </c>
      <c r="H67" s="144" t="s">
        <v>765</v>
      </c>
      <c r="I67" s="137">
        <v>203546.64</v>
      </c>
      <c r="J67" s="137">
        <v>10177.33</v>
      </c>
      <c r="K67" s="137">
        <v>10177.33</v>
      </c>
      <c r="L67" s="171">
        <v>0</v>
      </c>
      <c r="M67" s="171">
        <v>0</v>
      </c>
      <c r="N67" s="137">
        <v>0</v>
      </c>
      <c r="O67" s="137">
        <f t="shared" si="4"/>
        <v>183191.98</v>
      </c>
    </row>
    <row r="68" spans="1:15" s="138" customFormat="1" ht="135" customHeight="1" x14ac:dyDescent="0.2">
      <c r="A68" s="139">
        <v>19</v>
      </c>
      <c r="B68" s="162" t="s">
        <v>766</v>
      </c>
      <c r="C68" s="142" t="s">
        <v>767</v>
      </c>
      <c r="D68" s="141" t="s">
        <v>768</v>
      </c>
      <c r="E68" s="143" t="s">
        <v>769</v>
      </c>
      <c r="F68" s="143" t="s">
        <v>22</v>
      </c>
      <c r="G68" s="143" t="s">
        <v>770</v>
      </c>
      <c r="H68" s="144" t="s">
        <v>771</v>
      </c>
      <c r="I68" s="137">
        <v>74000</v>
      </c>
      <c r="J68" s="137">
        <v>0</v>
      </c>
      <c r="K68" s="137">
        <v>0</v>
      </c>
      <c r="L68" s="171">
        <v>74000</v>
      </c>
      <c r="M68" s="171">
        <v>0</v>
      </c>
      <c r="N68" s="137">
        <v>0</v>
      </c>
      <c r="O68" s="137">
        <f t="shared" si="4"/>
        <v>0</v>
      </c>
    </row>
    <row r="69" spans="1:15" s="138" customFormat="1" ht="135" customHeight="1" x14ac:dyDescent="0.2">
      <c r="A69" s="139">
        <v>20</v>
      </c>
      <c r="B69" s="162" t="s">
        <v>766</v>
      </c>
      <c r="C69" s="142" t="s">
        <v>772</v>
      </c>
      <c r="D69" s="141" t="s">
        <v>768</v>
      </c>
      <c r="E69" s="143" t="s">
        <v>769</v>
      </c>
      <c r="F69" s="143" t="s">
        <v>22</v>
      </c>
      <c r="G69" s="143" t="s">
        <v>773</v>
      </c>
      <c r="H69" s="144" t="s">
        <v>771</v>
      </c>
      <c r="I69" s="137">
        <v>74000</v>
      </c>
      <c r="J69" s="137">
        <v>0</v>
      </c>
      <c r="K69" s="137">
        <v>0</v>
      </c>
      <c r="L69" s="171">
        <v>0</v>
      </c>
      <c r="M69" s="171">
        <v>74000</v>
      </c>
      <c r="N69" s="137">
        <v>0</v>
      </c>
      <c r="O69" s="137">
        <f t="shared" si="4"/>
        <v>0</v>
      </c>
    </row>
    <row r="70" spans="1:15" s="138" customFormat="1" ht="99.95" customHeight="1" x14ac:dyDescent="0.2">
      <c r="A70" s="139">
        <v>21</v>
      </c>
      <c r="B70" s="162" t="s">
        <v>766</v>
      </c>
      <c r="C70" s="142" t="s">
        <v>774</v>
      </c>
      <c r="D70" s="141" t="s">
        <v>775</v>
      </c>
      <c r="E70" s="143" t="s">
        <v>705</v>
      </c>
      <c r="F70" s="143" t="s">
        <v>706</v>
      </c>
      <c r="G70" s="143" t="s">
        <v>707</v>
      </c>
      <c r="H70" s="144" t="s">
        <v>776</v>
      </c>
      <c r="I70" s="137">
        <v>503200</v>
      </c>
      <c r="J70" s="137">
        <v>25160</v>
      </c>
      <c r="K70" s="137">
        <v>25160</v>
      </c>
      <c r="L70" s="171">
        <v>0</v>
      </c>
      <c r="M70" s="171">
        <v>0</v>
      </c>
      <c r="N70" s="137">
        <v>0</v>
      </c>
      <c r="O70" s="137">
        <f t="shared" si="4"/>
        <v>452880</v>
      </c>
    </row>
    <row r="71" spans="1:15" s="138" customFormat="1" ht="99.95" customHeight="1" x14ac:dyDescent="0.2">
      <c r="A71" s="139">
        <v>22</v>
      </c>
      <c r="B71" s="162" t="s">
        <v>777</v>
      </c>
      <c r="C71" s="142" t="s">
        <v>778</v>
      </c>
      <c r="D71" s="141" t="s">
        <v>779</v>
      </c>
      <c r="E71" s="143" t="s">
        <v>705</v>
      </c>
      <c r="F71" s="143" t="s">
        <v>706</v>
      </c>
      <c r="G71" s="143" t="s">
        <v>707</v>
      </c>
      <c r="H71" s="144" t="s">
        <v>780</v>
      </c>
      <c r="I71" s="137">
        <v>377400</v>
      </c>
      <c r="J71" s="137">
        <v>18870</v>
      </c>
      <c r="K71" s="137">
        <v>18870</v>
      </c>
      <c r="L71" s="171">
        <v>0</v>
      </c>
      <c r="M71" s="171">
        <v>0</v>
      </c>
      <c r="N71" s="137">
        <v>0</v>
      </c>
      <c r="O71" s="137">
        <f t="shared" si="4"/>
        <v>339660</v>
      </c>
    </row>
    <row r="72" spans="1:15" s="138" customFormat="1" ht="129.94999999999999" customHeight="1" x14ac:dyDescent="0.2">
      <c r="A72" s="139">
        <v>23</v>
      </c>
      <c r="B72" s="162" t="s">
        <v>537</v>
      </c>
      <c r="C72" s="142" t="s">
        <v>781</v>
      </c>
      <c r="D72" s="141" t="s">
        <v>782</v>
      </c>
      <c r="E72" s="143" t="s">
        <v>712</v>
      </c>
      <c r="F72" s="143" t="s">
        <v>22</v>
      </c>
      <c r="G72" s="143" t="s">
        <v>713</v>
      </c>
      <c r="H72" s="144" t="s">
        <v>783</v>
      </c>
      <c r="I72" s="137">
        <v>154800</v>
      </c>
      <c r="J72" s="137">
        <v>7740</v>
      </c>
      <c r="K72" s="137">
        <v>7740</v>
      </c>
      <c r="L72" s="171">
        <v>0</v>
      </c>
      <c r="M72" s="171">
        <v>0</v>
      </c>
      <c r="N72" s="137">
        <v>0</v>
      </c>
      <c r="O72" s="137">
        <f t="shared" si="4"/>
        <v>139320</v>
      </c>
    </row>
    <row r="73" spans="1:15" ht="20.100000000000001" customHeight="1" x14ac:dyDescent="0.3">
      <c r="A73" s="124" t="s">
        <v>515</v>
      </c>
      <c r="B73" s="160"/>
      <c r="C73" s="126"/>
      <c r="D73" s="126"/>
      <c r="E73" s="127"/>
      <c r="F73" s="128"/>
      <c r="G73" s="128"/>
      <c r="H73" s="128"/>
      <c r="I73" s="129">
        <f>SUM(I74)</f>
        <v>0</v>
      </c>
      <c r="J73" s="129">
        <f t="shared" ref="J73:O73" si="5">SUM(J74)</f>
        <v>0</v>
      </c>
      <c r="K73" s="129">
        <f t="shared" si="5"/>
        <v>0</v>
      </c>
      <c r="L73" s="129">
        <f t="shared" si="5"/>
        <v>0</v>
      </c>
      <c r="M73" s="129">
        <f t="shared" si="5"/>
        <v>0</v>
      </c>
      <c r="N73" s="129">
        <f t="shared" si="5"/>
        <v>0</v>
      </c>
      <c r="O73" s="129">
        <f t="shared" si="5"/>
        <v>0</v>
      </c>
    </row>
    <row r="74" spans="1:15" s="151" customFormat="1" ht="20.100000000000001" customHeight="1" x14ac:dyDescent="0.2">
      <c r="A74" s="146"/>
      <c r="B74" s="172"/>
      <c r="C74" s="146"/>
      <c r="D74" s="146"/>
      <c r="E74" s="148"/>
      <c r="F74" s="149"/>
      <c r="G74" s="149"/>
      <c r="H74" s="149"/>
      <c r="I74" s="150"/>
      <c r="J74" s="150"/>
      <c r="K74" s="150"/>
      <c r="L74" s="150"/>
      <c r="M74" s="150"/>
      <c r="N74" s="150"/>
      <c r="O74" s="150"/>
    </row>
    <row r="75" spans="1:15" s="153" customFormat="1" ht="20.100000000000001" customHeight="1" x14ac:dyDescent="0.2">
      <c r="A75" s="592" t="s">
        <v>784</v>
      </c>
      <c r="B75" s="593"/>
      <c r="C75" s="593"/>
      <c r="D75" s="593"/>
      <c r="E75" s="593"/>
      <c r="F75" s="593"/>
      <c r="G75" s="593"/>
      <c r="H75" s="594"/>
      <c r="I75" s="152">
        <f t="shared" ref="I75:O75" si="6">+I12+I49+I73+I8</f>
        <v>11716241.68</v>
      </c>
      <c r="J75" s="152">
        <f t="shared" si="6"/>
        <v>556322.73</v>
      </c>
      <c r="K75" s="152">
        <f t="shared" si="6"/>
        <v>556322.73</v>
      </c>
      <c r="L75" s="152">
        <f t="shared" si="6"/>
        <v>215824.2</v>
      </c>
      <c r="M75" s="152">
        <f t="shared" si="6"/>
        <v>229254.2</v>
      </c>
      <c r="N75" s="152">
        <f t="shared" si="6"/>
        <v>0</v>
      </c>
      <c r="O75" s="152">
        <f t="shared" si="6"/>
        <v>10158517.82</v>
      </c>
    </row>
    <row r="253" spans="1:16" ht="18.75" x14ac:dyDescent="0.3">
      <c r="A253" s="588" t="s">
        <v>517</v>
      </c>
      <c r="B253" s="588"/>
      <c r="C253" s="588"/>
      <c r="D253" s="588"/>
      <c r="E253" s="588" t="s">
        <v>518</v>
      </c>
      <c r="F253" s="588"/>
      <c r="G253" s="588"/>
      <c r="H253" s="588" t="s">
        <v>518</v>
      </c>
      <c r="I253" s="588"/>
      <c r="J253" s="588"/>
      <c r="K253" s="588"/>
      <c r="L253" s="589" t="s">
        <v>519</v>
      </c>
      <c r="M253" s="589"/>
      <c r="N253" s="589"/>
      <c r="O253" s="589"/>
      <c r="P253" s="154"/>
    </row>
    <row r="254" spans="1:16" ht="18.75" x14ac:dyDescent="0.3">
      <c r="A254" s="588" t="s">
        <v>785</v>
      </c>
      <c r="B254" s="588"/>
      <c r="C254" s="588"/>
      <c r="D254" s="588"/>
      <c r="E254" s="588" t="s">
        <v>786</v>
      </c>
      <c r="F254" s="588"/>
      <c r="G254" s="588"/>
      <c r="H254" s="588" t="s">
        <v>520</v>
      </c>
      <c r="I254" s="588"/>
      <c r="J254" s="588"/>
      <c r="K254" s="588"/>
      <c r="L254" s="589" t="s">
        <v>521</v>
      </c>
      <c r="M254" s="589"/>
      <c r="N254" s="589"/>
      <c r="O254" s="589"/>
      <c r="P254" s="154"/>
    </row>
    <row r="255" spans="1:16" ht="18.75" x14ac:dyDescent="0.3">
      <c r="A255" s="588" t="s">
        <v>787</v>
      </c>
      <c r="B255" s="588"/>
      <c r="C255" s="588"/>
      <c r="D255" s="588"/>
      <c r="E255" s="588" t="s">
        <v>522</v>
      </c>
      <c r="F255" s="588"/>
      <c r="G255" s="588"/>
      <c r="H255" s="588" t="s">
        <v>523</v>
      </c>
      <c r="I255" s="588"/>
      <c r="J255" s="588"/>
      <c r="K255" s="588"/>
      <c r="L255" s="589" t="s">
        <v>524</v>
      </c>
      <c r="M255" s="589"/>
      <c r="N255" s="589"/>
      <c r="O255" s="589"/>
      <c r="P255" s="154"/>
    </row>
  </sheetData>
  <mergeCells count="30">
    <mergeCell ref="A1:O1"/>
    <mergeCell ref="A2:O2"/>
    <mergeCell ref="A3:O3"/>
    <mergeCell ref="A5:A7"/>
    <mergeCell ref="B5:I5"/>
    <mergeCell ref="J5:M5"/>
    <mergeCell ref="O5:O7"/>
    <mergeCell ref="B6:B7"/>
    <mergeCell ref="C6:C7"/>
    <mergeCell ref="D6:D7"/>
    <mergeCell ref="L6:N6"/>
    <mergeCell ref="E6:E7"/>
    <mergeCell ref="F6:F7"/>
    <mergeCell ref="G6:G7"/>
    <mergeCell ref="H6:H7"/>
    <mergeCell ref="I6:I7"/>
    <mergeCell ref="A255:D255"/>
    <mergeCell ref="E255:G255"/>
    <mergeCell ref="H255:K255"/>
    <mergeCell ref="L255:O255"/>
    <mergeCell ref="J6:K6"/>
    <mergeCell ref="A254:D254"/>
    <mergeCell ref="E254:G254"/>
    <mergeCell ref="H254:K254"/>
    <mergeCell ref="L254:O254"/>
    <mergeCell ref="A75:H75"/>
    <mergeCell ref="A253:D253"/>
    <mergeCell ref="E253:G253"/>
    <mergeCell ref="H253:K253"/>
    <mergeCell ref="L253:O25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8"/>
  <sheetViews>
    <sheetView topLeftCell="A67" workbookViewId="0">
      <selection activeCell="A3" sqref="A3:I3"/>
    </sheetView>
  </sheetViews>
  <sheetFormatPr defaultRowHeight="17.25" x14ac:dyDescent="0.3"/>
  <cols>
    <col min="1" max="1" width="4.625" style="155" customWidth="1"/>
    <col min="2" max="2" width="9.125" style="156" customWidth="1"/>
    <col min="3" max="3" width="10.625" style="155" customWidth="1"/>
    <col min="4" max="4" width="16.625" style="155" customWidth="1"/>
    <col min="5" max="5" width="22.625" style="157" customWidth="1"/>
    <col min="6" max="6" width="15.625" style="113" customWidth="1"/>
    <col min="7" max="7" width="17" style="113" customWidth="1"/>
    <col min="8" max="8" width="25.625" style="113" customWidth="1"/>
    <col min="9" max="9" width="11.625" style="158" customWidth="1"/>
    <col min="10" max="13" width="11.625" style="113" customWidth="1"/>
    <col min="14" max="14" width="9.625" style="113" customWidth="1"/>
    <col min="15" max="15" width="11.625" style="113" customWidth="1"/>
    <col min="16" max="16384" width="9" style="113"/>
  </cols>
  <sheetData>
    <row r="1" spans="1:16" ht="18.75" x14ac:dyDescent="0.3">
      <c r="A1" s="595" t="s">
        <v>250</v>
      </c>
      <c r="B1" s="595"/>
      <c r="C1" s="595"/>
      <c r="D1" s="595"/>
      <c r="E1" s="595"/>
      <c r="F1" s="595"/>
      <c r="G1" s="595"/>
      <c r="H1" s="595"/>
      <c r="I1" s="595"/>
      <c r="J1" s="595"/>
      <c r="K1" s="595"/>
      <c r="L1" s="595"/>
      <c r="M1" s="595"/>
      <c r="N1" s="595"/>
      <c r="O1" s="595"/>
    </row>
    <row r="2" spans="1:16" ht="18.75" x14ac:dyDescent="0.3">
      <c r="A2" s="595" t="s">
        <v>251</v>
      </c>
      <c r="B2" s="595"/>
      <c r="C2" s="595"/>
      <c r="D2" s="595"/>
      <c r="E2" s="595"/>
      <c r="F2" s="595"/>
      <c r="G2" s="595"/>
      <c r="H2" s="595"/>
      <c r="I2" s="595"/>
      <c r="J2" s="595"/>
      <c r="K2" s="595"/>
      <c r="L2" s="595"/>
      <c r="M2" s="595"/>
      <c r="N2" s="595"/>
      <c r="O2" s="595"/>
    </row>
    <row r="3" spans="1:16" ht="18.75" x14ac:dyDescent="0.3">
      <c r="A3" s="595" t="s">
        <v>252</v>
      </c>
      <c r="B3" s="595"/>
      <c r="C3" s="595"/>
      <c r="D3" s="595"/>
      <c r="E3" s="595"/>
      <c r="F3" s="595"/>
      <c r="G3" s="595"/>
      <c r="H3" s="595"/>
      <c r="I3" s="595"/>
      <c r="J3" s="595"/>
      <c r="K3" s="595"/>
      <c r="L3" s="595"/>
      <c r="M3" s="595"/>
      <c r="N3" s="595"/>
      <c r="O3" s="595"/>
    </row>
    <row r="4" spans="1:16" s="117" customFormat="1" ht="8.1" customHeight="1" x14ac:dyDescent="0.3">
      <c r="A4" s="114"/>
      <c r="B4" s="115"/>
      <c r="C4" s="114"/>
      <c r="D4" s="114"/>
      <c r="E4" s="116"/>
      <c r="I4" s="118"/>
    </row>
    <row r="5" spans="1:16" s="121" customFormat="1" ht="38.1" customHeight="1" x14ac:dyDescent="0.3">
      <c r="A5" s="596" t="s">
        <v>253</v>
      </c>
      <c r="B5" s="599" t="s">
        <v>254</v>
      </c>
      <c r="C5" s="600"/>
      <c r="D5" s="600"/>
      <c r="E5" s="600"/>
      <c r="F5" s="600"/>
      <c r="G5" s="600"/>
      <c r="H5" s="600"/>
      <c r="I5" s="601"/>
      <c r="J5" s="602" t="s">
        <v>255</v>
      </c>
      <c r="K5" s="603"/>
      <c r="L5" s="604"/>
      <c r="M5" s="604"/>
      <c r="N5" s="119"/>
      <c r="O5" s="596" t="s">
        <v>256</v>
      </c>
      <c r="P5" s="120"/>
    </row>
    <row r="6" spans="1:16" s="122" customFormat="1" ht="57.95" customHeight="1" x14ac:dyDescent="0.2">
      <c r="A6" s="597"/>
      <c r="B6" s="609" t="s">
        <v>257</v>
      </c>
      <c r="C6" s="606" t="s">
        <v>2</v>
      </c>
      <c r="D6" s="606" t="s">
        <v>258</v>
      </c>
      <c r="E6" s="610" t="s">
        <v>259</v>
      </c>
      <c r="F6" s="606" t="s">
        <v>260</v>
      </c>
      <c r="G6" s="606" t="s">
        <v>261</v>
      </c>
      <c r="H6" s="606" t="s">
        <v>262</v>
      </c>
      <c r="I6" s="608" t="s">
        <v>263</v>
      </c>
      <c r="J6" s="590" t="s">
        <v>264</v>
      </c>
      <c r="K6" s="591"/>
      <c r="L6" s="590" t="s">
        <v>265</v>
      </c>
      <c r="M6" s="591"/>
      <c r="N6" s="607"/>
      <c r="O6" s="597"/>
    </row>
    <row r="7" spans="1:16" s="121" customFormat="1" ht="60" customHeight="1" x14ac:dyDescent="0.3">
      <c r="A7" s="598"/>
      <c r="B7" s="609"/>
      <c r="C7" s="606"/>
      <c r="D7" s="606"/>
      <c r="E7" s="611"/>
      <c r="F7" s="606"/>
      <c r="G7" s="606"/>
      <c r="H7" s="606"/>
      <c r="I7" s="608"/>
      <c r="J7" s="123" t="s">
        <v>266</v>
      </c>
      <c r="K7" s="123" t="s">
        <v>267</v>
      </c>
      <c r="L7" s="123" t="s">
        <v>266</v>
      </c>
      <c r="M7" s="123" t="s">
        <v>267</v>
      </c>
      <c r="N7" s="123" t="s">
        <v>268</v>
      </c>
      <c r="O7" s="598"/>
      <c r="P7" s="120"/>
    </row>
    <row r="8" spans="1:16" ht="20.100000000000001" customHeight="1" x14ac:dyDescent="0.3">
      <c r="A8" s="124" t="s">
        <v>269</v>
      </c>
      <c r="B8" s="125"/>
      <c r="C8" s="126"/>
      <c r="D8" s="126"/>
      <c r="E8" s="127"/>
      <c r="F8" s="128"/>
      <c r="G8" s="128"/>
      <c r="H8" s="128"/>
      <c r="I8" s="129">
        <f>SUM(I9:I50)</f>
        <v>10746818</v>
      </c>
      <c r="J8" s="129">
        <f t="shared" ref="J8:O8" si="0">SUM(J9:J50)</f>
        <v>522773.62</v>
      </c>
      <c r="K8" s="129">
        <f t="shared" si="0"/>
        <v>522773.62</v>
      </c>
      <c r="L8" s="129">
        <f t="shared" si="0"/>
        <v>7500</v>
      </c>
      <c r="M8" s="129">
        <f t="shared" si="0"/>
        <v>7500</v>
      </c>
      <c r="N8" s="129">
        <f t="shared" si="0"/>
        <v>0</v>
      </c>
      <c r="O8" s="129">
        <f t="shared" si="0"/>
        <v>9686270.7599999998</v>
      </c>
    </row>
    <row r="9" spans="1:16" s="138" customFormat="1" ht="90" customHeight="1" x14ac:dyDescent="0.2">
      <c r="A9" s="130">
        <v>1</v>
      </c>
      <c r="B9" s="131" t="s">
        <v>270</v>
      </c>
      <c r="C9" s="132" t="s">
        <v>271</v>
      </c>
      <c r="D9" s="133" t="s">
        <v>272</v>
      </c>
      <c r="E9" s="134" t="s">
        <v>115</v>
      </c>
      <c r="F9" s="134" t="s">
        <v>117</v>
      </c>
      <c r="G9" s="134" t="s">
        <v>273</v>
      </c>
      <c r="H9" s="135" t="s">
        <v>274</v>
      </c>
      <c r="I9" s="136">
        <v>428000</v>
      </c>
      <c r="J9" s="137">
        <v>21400</v>
      </c>
      <c r="K9" s="137">
        <v>21400</v>
      </c>
      <c r="L9" s="137">
        <v>0</v>
      </c>
      <c r="M9" s="137">
        <v>0</v>
      </c>
      <c r="N9" s="137">
        <v>0</v>
      </c>
      <c r="O9" s="137">
        <f>+I9-J9-K9-L9-M9</f>
        <v>385200</v>
      </c>
    </row>
    <row r="10" spans="1:16" s="138" customFormat="1" ht="90" customHeight="1" x14ac:dyDescent="0.2">
      <c r="A10" s="139">
        <v>2</v>
      </c>
      <c r="B10" s="140" t="s">
        <v>275</v>
      </c>
      <c r="C10" s="132" t="s">
        <v>276</v>
      </c>
      <c r="D10" s="141" t="s">
        <v>277</v>
      </c>
      <c r="E10" s="134" t="s">
        <v>115</v>
      </c>
      <c r="F10" s="134" t="s">
        <v>117</v>
      </c>
      <c r="G10" s="134" t="s">
        <v>278</v>
      </c>
      <c r="H10" s="135" t="s">
        <v>274</v>
      </c>
      <c r="I10" s="137">
        <v>257900</v>
      </c>
      <c r="J10" s="137">
        <v>12895</v>
      </c>
      <c r="K10" s="137">
        <v>12895</v>
      </c>
      <c r="L10" s="137">
        <v>0</v>
      </c>
      <c r="M10" s="137">
        <v>0</v>
      </c>
      <c r="N10" s="137">
        <v>0</v>
      </c>
      <c r="O10" s="137">
        <f t="shared" ref="O10:O54" si="1">+I10-J10-K10-L10-M10</f>
        <v>232110</v>
      </c>
    </row>
    <row r="11" spans="1:16" s="138" customFormat="1" ht="285" customHeight="1" x14ac:dyDescent="0.2">
      <c r="A11" s="139">
        <v>3</v>
      </c>
      <c r="B11" s="140" t="s">
        <v>279</v>
      </c>
      <c r="C11" s="142" t="s">
        <v>280</v>
      </c>
      <c r="D11" s="141" t="s">
        <v>281</v>
      </c>
      <c r="E11" s="143" t="s">
        <v>282</v>
      </c>
      <c r="F11" s="143" t="s">
        <v>283</v>
      </c>
      <c r="G11" s="143" t="s">
        <v>284</v>
      </c>
      <c r="H11" s="144" t="s">
        <v>285</v>
      </c>
      <c r="I11" s="137">
        <v>15000</v>
      </c>
      <c r="J11" s="137">
        <v>0</v>
      </c>
      <c r="K11" s="137">
        <v>0</v>
      </c>
      <c r="L11" s="137">
        <v>7500</v>
      </c>
      <c r="M11" s="137">
        <v>7500</v>
      </c>
      <c r="N11" s="137">
        <v>0</v>
      </c>
      <c r="O11" s="137">
        <f t="shared" si="1"/>
        <v>0</v>
      </c>
    </row>
    <row r="12" spans="1:16" s="138" customFormat="1" ht="90" customHeight="1" x14ac:dyDescent="0.2">
      <c r="A12" s="139">
        <v>4</v>
      </c>
      <c r="B12" s="140" t="s">
        <v>286</v>
      </c>
      <c r="C12" s="142" t="s">
        <v>287</v>
      </c>
      <c r="D12" s="141" t="s">
        <v>288</v>
      </c>
      <c r="E12" s="143" t="s">
        <v>115</v>
      </c>
      <c r="F12" s="143" t="s">
        <v>117</v>
      </c>
      <c r="G12" s="134" t="s">
        <v>289</v>
      </c>
      <c r="H12" s="135" t="s">
        <v>274</v>
      </c>
      <c r="I12" s="137">
        <v>373000</v>
      </c>
      <c r="J12" s="137">
        <v>18650</v>
      </c>
      <c r="K12" s="137">
        <v>18650</v>
      </c>
      <c r="L12" s="137">
        <v>0</v>
      </c>
      <c r="M12" s="137">
        <v>0</v>
      </c>
      <c r="N12" s="137">
        <v>0</v>
      </c>
      <c r="O12" s="137">
        <f t="shared" si="1"/>
        <v>335700</v>
      </c>
    </row>
    <row r="13" spans="1:16" s="138" customFormat="1" ht="90" customHeight="1" x14ac:dyDescent="0.2">
      <c r="A13" s="139">
        <v>5</v>
      </c>
      <c r="B13" s="140" t="s">
        <v>290</v>
      </c>
      <c r="C13" s="142" t="s">
        <v>291</v>
      </c>
      <c r="D13" s="141" t="s">
        <v>292</v>
      </c>
      <c r="E13" s="143" t="s">
        <v>115</v>
      </c>
      <c r="F13" s="143" t="s">
        <v>117</v>
      </c>
      <c r="G13" s="134" t="s">
        <v>289</v>
      </c>
      <c r="H13" s="135" t="s">
        <v>274</v>
      </c>
      <c r="I13" s="137">
        <v>95000</v>
      </c>
      <c r="J13" s="137">
        <v>4750</v>
      </c>
      <c r="K13" s="137">
        <v>4750</v>
      </c>
      <c r="L13" s="137">
        <v>0</v>
      </c>
      <c r="M13" s="137">
        <v>0</v>
      </c>
      <c r="N13" s="137">
        <v>0</v>
      </c>
      <c r="O13" s="137">
        <f t="shared" si="1"/>
        <v>85500</v>
      </c>
    </row>
    <row r="14" spans="1:16" s="138" customFormat="1" ht="90" customHeight="1" x14ac:dyDescent="0.2">
      <c r="A14" s="139">
        <v>6</v>
      </c>
      <c r="B14" s="140">
        <v>241390</v>
      </c>
      <c r="C14" s="142" t="s">
        <v>293</v>
      </c>
      <c r="D14" s="141" t="s">
        <v>294</v>
      </c>
      <c r="E14" s="143" t="s">
        <v>115</v>
      </c>
      <c r="F14" s="143" t="s">
        <v>117</v>
      </c>
      <c r="G14" s="134" t="s">
        <v>295</v>
      </c>
      <c r="H14" s="135" t="s">
        <v>274</v>
      </c>
      <c r="I14" s="137">
        <v>370000</v>
      </c>
      <c r="J14" s="137">
        <v>18500</v>
      </c>
      <c r="K14" s="137">
        <v>18500</v>
      </c>
      <c r="L14" s="137">
        <v>0</v>
      </c>
      <c r="M14" s="137">
        <v>0</v>
      </c>
      <c r="N14" s="137">
        <v>0</v>
      </c>
      <c r="O14" s="137">
        <f t="shared" si="1"/>
        <v>333000</v>
      </c>
    </row>
    <row r="15" spans="1:16" s="138" customFormat="1" ht="90" customHeight="1" x14ac:dyDescent="0.2">
      <c r="A15" s="139">
        <v>7</v>
      </c>
      <c r="B15" s="140" t="s">
        <v>296</v>
      </c>
      <c r="C15" s="142" t="s">
        <v>297</v>
      </c>
      <c r="D15" s="141" t="s">
        <v>298</v>
      </c>
      <c r="E15" s="143" t="s">
        <v>115</v>
      </c>
      <c r="F15" s="143" t="s">
        <v>117</v>
      </c>
      <c r="G15" s="134" t="s">
        <v>299</v>
      </c>
      <c r="H15" s="135" t="s">
        <v>274</v>
      </c>
      <c r="I15" s="137">
        <v>575000</v>
      </c>
      <c r="J15" s="137">
        <v>28750</v>
      </c>
      <c r="K15" s="137">
        <v>28750</v>
      </c>
      <c r="L15" s="137">
        <v>0</v>
      </c>
      <c r="M15" s="137">
        <v>0</v>
      </c>
      <c r="N15" s="137">
        <v>0</v>
      </c>
      <c r="O15" s="137">
        <f t="shared" si="1"/>
        <v>517500</v>
      </c>
    </row>
    <row r="16" spans="1:16" s="138" customFormat="1" ht="110.1" customHeight="1" x14ac:dyDescent="0.2">
      <c r="A16" s="139">
        <v>8</v>
      </c>
      <c r="B16" s="140" t="s">
        <v>296</v>
      </c>
      <c r="C16" s="142" t="s">
        <v>300</v>
      </c>
      <c r="D16" s="141" t="s">
        <v>301</v>
      </c>
      <c r="E16" s="143" t="s">
        <v>302</v>
      </c>
      <c r="F16" s="143" t="s">
        <v>117</v>
      </c>
      <c r="G16" s="134" t="s">
        <v>303</v>
      </c>
      <c r="H16" s="144" t="s">
        <v>304</v>
      </c>
      <c r="I16" s="137">
        <v>24000</v>
      </c>
      <c r="J16" s="137">
        <v>1200</v>
      </c>
      <c r="K16" s="137">
        <v>1200</v>
      </c>
      <c r="L16" s="137">
        <v>0</v>
      </c>
      <c r="M16" s="137">
        <v>0</v>
      </c>
      <c r="N16" s="137">
        <v>0</v>
      </c>
      <c r="O16" s="137">
        <f t="shared" si="1"/>
        <v>21600</v>
      </c>
    </row>
    <row r="17" spans="1:15" s="138" customFormat="1" ht="165" customHeight="1" x14ac:dyDescent="0.2">
      <c r="A17" s="139">
        <v>9</v>
      </c>
      <c r="B17" s="140" t="s">
        <v>296</v>
      </c>
      <c r="C17" s="142" t="s">
        <v>305</v>
      </c>
      <c r="D17" s="142" t="s">
        <v>306</v>
      </c>
      <c r="E17" s="143" t="s">
        <v>307</v>
      </c>
      <c r="F17" s="143" t="s">
        <v>308</v>
      </c>
      <c r="G17" s="143" t="s">
        <v>309</v>
      </c>
      <c r="H17" s="144" t="s">
        <v>310</v>
      </c>
      <c r="I17" s="137">
        <v>350000</v>
      </c>
      <c r="J17" s="137">
        <v>0</v>
      </c>
      <c r="K17" s="137">
        <v>0</v>
      </c>
      <c r="L17" s="137">
        <v>0</v>
      </c>
      <c r="M17" s="137">
        <v>0</v>
      </c>
      <c r="N17" s="145" t="s">
        <v>311</v>
      </c>
      <c r="O17" s="137">
        <f t="shared" si="1"/>
        <v>350000</v>
      </c>
    </row>
    <row r="18" spans="1:15" s="138" customFormat="1" ht="90" customHeight="1" x14ac:dyDescent="0.2">
      <c r="A18" s="139">
        <v>10</v>
      </c>
      <c r="B18" s="140" t="s">
        <v>312</v>
      </c>
      <c r="C18" s="142" t="s">
        <v>313</v>
      </c>
      <c r="D18" s="141" t="s">
        <v>314</v>
      </c>
      <c r="E18" s="143" t="s">
        <v>115</v>
      </c>
      <c r="F18" s="143" t="s">
        <v>117</v>
      </c>
      <c r="G18" s="134" t="s">
        <v>315</v>
      </c>
      <c r="H18" s="135" t="s">
        <v>274</v>
      </c>
      <c r="I18" s="137">
        <v>218000</v>
      </c>
      <c r="J18" s="137">
        <v>10900</v>
      </c>
      <c r="K18" s="137">
        <v>10900</v>
      </c>
      <c r="L18" s="137">
        <v>0</v>
      </c>
      <c r="M18" s="137">
        <v>0</v>
      </c>
      <c r="N18" s="137">
        <v>0</v>
      </c>
      <c r="O18" s="137">
        <f t="shared" si="1"/>
        <v>196200</v>
      </c>
    </row>
    <row r="19" spans="1:15" s="138" customFormat="1" ht="90" customHeight="1" x14ac:dyDescent="0.2">
      <c r="A19" s="139">
        <v>11</v>
      </c>
      <c r="B19" s="140" t="s">
        <v>312</v>
      </c>
      <c r="C19" s="132" t="s">
        <v>316</v>
      </c>
      <c r="D19" s="141" t="s">
        <v>317</v>
      </c>
      <c r="E19" s="134" t="s">
        <v>115</v>
      </c>
      <c r="F19" s="134" t="s">
        <v>117</v>
      </c>
      <c r="G19" s="134" t="s">
        <v>318</v>
      </c>
      <c r="H19" s="135" t="s">
        <v>274</v>
      </c>
      <c r="I19" s="137">
        <v>25000</v>
      </c>
      <c r="J19" s="137">
        <v>1250</v>
      </c>
      <c r="K19" s="137">
        <v>1250</v>
      </c>
      <c r="L19" s="137">
        <v>0</v>
      </c>
      <c r="M19" s="137">
        <v>0</v>
      </c>
      <c r="N19" s="137">
        <v>0</v>
      </c>
      <c r="O19" s="137">
        <f t="shared" si="1"/>
        <v>22500</v>
      </c>
    </row>
    <row r="20" spans="1:15" s="138" customFormat="1" ht="90" customHeight="1" x14ac:dyDescent="0.2">
      <c r="A20" s="139">
        <v>12</v>
      </c>
      <c r="B20" s="140" t="s">
        <v>319</v>
      </c>
      <c r="C20" s="142" t="s">
        <v>320</v>
      </c>
      <c r="D20" s="141" t="s">
        <v>321</v>
      </c>
      <c r="E20" s="143" t="s">
        <v>115</v>
      </c>
      <c r="F20" s="143" t="s">
        <v>117</v>
      </c>
      <c r="G20" s="134" t="s">
        <v>322</v>
      </c>
      <c r="H20" s="135" t="s">
        <v>274</v>
      </c>
      <c r="I20" s="137">
        <v>363000</v>
      </c>
      <c r="J20" s="137">
        <v>18150</v>
      </c>
      <c r="K20" s="137">
        <v>18150</v>
      </c>
      <c r="L20" s="137">
        <v>0</v>
      </c>
      <c r="M20" s="137">
        <v>0</v>
      </c>
      <c r="N20" s="137">
        <v>0</v>
      </c>
      <c r="O20" s="137">
        <f t="shared" si="1"/>
        <v>326700</v>
      </c>
    </row>
    <row r="21" spans="1:15" s="138" customFormat="1" ht="90" customHeight="1" x14ac:dyDescent="0.2">
      <c r="A21" s="139">
        <v>13</v>
      </c>
      <c r="B21" s="140" t="s">
        <v>323</v>
      </c>
      <c r="C21" s="132" t="s">
        <v>324</v>
      </c>
      <c r="D21" s="133" t="s">
        <v>325</v>
      </c>
      <c r="E21" s="134" t="s">
        <v>115</v>
      </c>
      <c r="F21" s="134" t="s">
        <v>117</v>
      </c>
      <c r="G21" s="134" t="s">
        <v>326</v>
      </c>
      <c r="H21" s="135" t="s">
        <v>274</v>
      </c>
      <c r="I21" s="137">
        <v>115000</v>
      </c>
      <c r="J21" s="137">
        <v>5750</v>
      </c>
      <c r="K21" s="137">
        <v>5750</v>
      </c>
      <c r="L21" s="137">
        <v>0</v>
      </c>
      <c r="M21" s="137">
        <v>0</v>
      </c>
      <c r="N21" s="137">
        <v>0</v>
      </c>
      <c r="O21" s="137">
        <f t="shared" si="1"/>
        <v>103500</v>
      </c>
    </row>
    <row r="22" spans="1:15" s="138" customFormat="1" ht="150" customHeight="1" x14ac:dyDescent="0.2">
      <c r="A22" s="139">
        <v>14</v>
      </c>
      <c r="B22" s="140" t="s">
        <v>327</v>
      </c>
      <c r="C22" s="132" t="s">
        <v>328</v>
      </c>
      <c r="D22" s="133" t="s">
        <v>329</v>
      </c>
      <c r="E22" s="134" t="s">
        <v>121</v>
      </c>
      <c r="F22" s="134" t="s">
        <v>161</v>
      </c>
      <c r="G22" s="134" t="s">
        <v>330</v>
      </c>
      <c r="H22" s="135" t="s">
        <v>331</v>
      </c>
      <c r="I22" s="137">
        <v>116000</v>
      </c>
      <c r="J22" s="137">
        <v>0</v>
      </c>
      <c r="K22" s="137">
        <v>0</v>
      </c>
      <c r="L22" s="137">
        <v>0</v>
      </c>
      <c r="M22" s="137">
        <v>0</v>
      </c>
      <c r="N22" s="145" t="s">
        <v>311</v>
      </c>
      <c r="O22" s="137">
        <f t="shared" si="1"/>
        <v>116000</v>
      </c>
    </row>
    <row r="23" spans="1:15" s="138" customFormat="1" ht="216" customHeight="1" x14ac:dyDescent="0.2">
      <c r="A23" s="139">
        <v>15</v>
      </c>
      <c r="B23" s="140" t="s">
        <v>332</v>
      </c>
      <c r="C23" s="132" t="s">
        <v>333</v>
      </c>
      <c r="D23" s="133" t="s">
        <v>334</v>
      </c>
      <c r="E23" s="134" t="s">
        <v>335</v>
      </c>
      <c r="F23" s="134" t="s">
        <v>19</v>
      </c>
      <c r="G23" s="134" t="s">
        <v>336</v>
      </c>
      <c r="H23" s="135" t="s">
        <v>337</v>
      </c>
      <c r="I23" s="137">
        <v>190000</v>
      </c>
      <c r="J23" s="137">
        <v>9500</v>
      </c>
      <c r="K23" s="137">
        <v>9500</v>
      </c>
      <c r="L23" s="137">
        <v>0</v>
      </c>
      <c r="M23" s="137">
        <v>0</v>
      </c>
      <c r="N23" s="137">
        <v>0</v>
      </c>
      <c r="O23" s="137">
        <f t="shared" si="1"/>
        <v>171000</v>
      </c>
    </row>
    <row r="24" spans="1:15" s="138" customFormat="1" ht="114.95" customHeight="1" x14ac:dyDescent="0.2">
      <c r="A24" s="139">
        <v>16</v>
      </c>
      <c r="B24" s="140" t="s">
        <v>338</v>
      </c>
      <c r="C24" s="132" t="s">
        <v>339</v>
      </c>
      <c r="D24" s="133" t="s">
        <v>340</v>
      </c>
      <c r="E24" s="134" t="s">
        <v>159</v>
      </c>
      <c r="F24" s="134" t="s">
        <v>161</v>
      </c>
      <c r="G24" s="134" t="s">
        <v>341</v>
      </c>
      <c r="H24" s="135" t="s">
        <v>342</v>
      </c>
      <c r="I24" s="137">
        <v>101500</v>
      </c>
      <c r="J24" s="137">
        <v>0</v>
      </c>
      <c r="K24" s="137">
        <v>0</v>
      </c>
      <c r="L24" s="137">
        <v>0</v>
      </c>
      <c r="M24" s="137">
        <v>0</v>
      </c>
      <c r="N24" s="145" t="s">
        <v>311</v>
      </c>
      <c r="O24" s="137">
        <f t="shared" si="1"/>
        <v>101500</v>
      </c>
    </row>
    <row r="25" spans="1:15" s="138" customFormat="1" ht="90" customHeight="1" x14ac:dyDescent="0.2">
      <c r="A25" s="139">
        <v>17</v>
      </c>
      <c r="B25" s="140" t="s">
        <v>338</v>
      </c>
      <c r="C25" s="132" t="s">
        <v>343</v>
      </c>
      <c r="D25" s="133" t="s">
        <v>344</v>
      </c>
      <c r="E25" s="134" t="s">
        <v>115</v>
      </c>
      <c r="F25" s="134" t="s">
        <v>117</v>
      </c>
      <c r="G25" s="134" t="s">
        <v>345</v>
      </c>
      <c r="H25" s="135" t="s">
        <v>274</v>
      </c>
      <c r="I25" s="137">
        <v>182000</v>
      </c>
      <c r="J25" s="137">
        <v>9100</v>
      </c>
      <c r="K25" s="137">
        <v>9100</v>
      </c>
      <c r="L25" s="137">
        <v>0</v>
      </c>
      <c r="M25" s="137">
        <v>0</v>
      </c>
      <c r="N25" s="137">
        <v>0</v>
      </c>
      <c r="O25" s="137">
        <f t="shared" si="1"/>
        <v>163800</v>
      </c>
    </row>
    <row r="26" spans="1:15" s="138" customFormat="1" ht="90" customHeight="1" x14ac:dyDescent="0.2">
      <c r="A26" s="139">
        <v>18</v>
      </c>
      <c r="B26" s="140" t="s">
        <v>346</v>
      </c>
      <c r="C26" s="132" t="s">
        <v>347</v>
      </c>
      <c r="D26" s="133" t="s">
        <v>348</v>
      </c>
      <c r="E26" s="134" t="s">
        <v>115</v>
      </c>
      <c r="F26" s="134" t="s">
        <v>117</v>
      </c>
      <c r="G26" s="134" t="s">
        <v>318</v>
      </c>
      <c r="H26" s="135" t="s">
        <v>274</v>
      </c>
      <c r="I26" s="137">
        <v>25000</v>
      </c>
      <c r="J26" s="137">
        <v>1250</v>
      </c>
      <c r="K26" s="137">
        <v>1250</v>
      </c>
      <c r="L26" s="137">
        <v>0</v>
      </c>
      <c r="M26" s="137">
        <v>0</v>
      </c>
      <c r="N26" s="137">
        <v>0</v>
      </c>
      <c r="O26" s="137">
        <f t="shared" si="1"/>
        <v>22500</v>
      </c>
    </row>
    <row r="27" spans="1:15" s="138" customFormat="1" ht="90" customHeight="1" x14ac:dyDescent="0.2">
      <c r="A27" s="139">
        <v>19</v>
      </c>
      <c r="B27" s="140" t="s">
        <v>349</v>
      </c>
      <c r="C27" s="132" t="s">
        <v>350</v>
      </c>
      <c r="D27" s="133" t="s">
        <v>351</v>
      </c>
      <c r="E27" s="134" t="s">
        <v>115</v>
      </c>
      <c r="F27" s="134" t="s">
        <v>117</v>
      </c>
      <c r="G27" s="134" t="s">
        <v>318</v>
      </c>
      <c r="H27" s="135" t="s">
        <v>274</v>
      </c>
      <c r="I27" s="137">
        <v>25000</v>
      </c>
      <c r="J27" s="137">
        <v>1250</v>
      </c>
      <c r="K27" s="137">
        <v>1250</v>
      </c>
      <c r="L27" s="137">
        <v>0</v>
      </c>
      <c r="M27" s="137">
        <v>0</v>
      </c>
      <c r="N27" s="137">
        <v>0</v>
      </c>
      <c r="O27" s="137">
        <f t="shared" si="1"/>
        <v>22500</v>
      </c>
    </row>
    <row r="28" spans="1:15" s="138" customFormat="1" ht="200.1" customHeight="1" x14ac:dyDescent="0.2">
      <c r="A28" s="139">
        <v>20</v>
      </c>
      <c r="B28" s="140" t="s">
        <v>349</v>
      </c>
      <c r="C28" s="132" t="s">
        <v>352</v>
      </c>
      <c r="D28" s="133" t="s">
        <v>353</v>
      </c>
      <c r="E28" s="134" t="s">
        <v>199</v>
      </c>
      <c r="F28" s="134" t="s">
        <v>19</v>
      </c>
      <c r="G28" s="134" t="s">
        <v>354</v>
      </c>
      <c r="H28" s="135" t="s">
        <v>355</v>
      </c>
      <c r="I28" s="137">
        <v>240000</v>
      </c>
      <c r="J28" s="137">
        <v>12000</v>
      </c>
      <c r="K28" s="137">
        <v>12000</v>
      </c>
      <c r="L28" s="137">
        <v>0</v>
      </c>
      <c r="M28" s="137">
        <v>0</v>
      </c>
      <c r="N28" s="137">
        <v>0</v>
      </c>
      <c r="O28" s="137">
        <f t="shared" si="1"/>
        <v>216000</v>
      </c>
    </row>
    <row r="29" spans="1:15" s="138" customFormat="1" ht="110.1" customHeight="1" x14ac:dyDescent="0.2">
      <c r="A29" s="139">
        <v>21</v>
      </c>
      <c r="B29" s="140" t="s">
        <v>356</v>
      </c>
      <c r="C29" s="132" t="s">
        <v>357</v>
      </c>
      <c r="D29" s="133" t="s">
        <v>358</v>
      </c>
      <c r="E29" s="134" t="s">
        <v>359</v>
      </c>
      <c r="F29" s="134" t="s">
        <v>360</v>
      </c>
      <c r="G29" s="134" t="s">
        <v>361</v>
      </c>
      <c r="H29" s="135" t="s">
        <v>362</v>
      </c>
      <c r="I29" s="137">
        <v>33000</v>
      </c>
      <c r="J29" s="137">
        <v>16500</v>
      </c>
      <c r="K29" s="137">
        <v>16500</v>
      </c>
      <c r="L29" s="137">
        <v>0</v>
      </c>
      <c r="M29" s="137">
        <v>0</v>
      </c>
      <c r="N29" s="137">
        <v>0</v>
      </c>
      <c r="O29" s="137">
        <f t="shared" si="1"/>
        <v>0</v>
      </c>
    </row>
    <row r="30" spans="1:15" s="138" customFormat="1" ht="90" customHeight="1" x14ac:dyDescent="0.2">
      <c r="A30" s="139">
        <v>22</v>
      </c>
      <c r="B30" s="140" t="s">
        <v>363</v>
      </c>
      <c r="C30" s="132" t="s">
        <v>364</v>
      </c>
      <c r="D30" s="133" t="s">
        <v>365</v>
      </c>
      <c r="E30" s="134" t="s">
        <v>115</v>
      </c>
      <c r="F30" s="134" t="s">
        <v>117</v>
      </c>
      <c r="G30" s="134" t="s">
        <v>318</v>
      </c>
      <c r="H30" s="135" t="s">
        <v>274</v>
      </c>
      <c r="I30" s="137">
        <v>25000</v>
      </c>
      <c r="J30" s="137">
        <v>1250</v>
      </c>
      <c r="K30" s="137">
        <v>1250</v>
      </c>
      <c r="L30" s="137">
        <v>0</v>
      </c>
      <c r="M30" s="137">
        <v>0</v>
      </c>
      <c r="N30" s="137">
        <v>0</v>
      </c>
      <c r="O30" s="137">
        <f t="shared" si="1"/>
        <v>22500</v>
      </c>
    </row>
    <row r="31" spans="1:15" s="138" customFormat="1" ht="110.1" customHeight="1" x14ac:dyDescent="0.2">
      <c r="A31" s="139">
        <v>23</v>
      </c>
      <c r="B31" s="140" t="s">
        <v>366</v>
      </c>
      <c r="C31" s="133" t="s">
        <v>367</v>
      </c>
      <c r="D31" s="133" t="s">
        <v>368</v>
      </c>
      <c r="E31" s="134" t="s">
        <v>199</v>
      </c>
      <c r="F31" s="134" t="s">
        <v>19</v>
      </c>
      <c r="G31" s="134" t="s">
        <v>369</v>
      </c>
      <c r="H31" s="135" t="s">
        <v>370</v>
      </c>
      <c r="I31" s="137">
        <f>18000+30000</f>
        <v>48000</v>
      </c>
      <c r="J31" s="137">
        <f>900+1500</f>
        <v>2400</v>
      </c>
      <c r="K31" s="137">
        <f>900+1500</f>
        <v>2400</v>
      </c>
      <c r="L31" s="137">
        <v>0</v>
      </c>
      <c r="M31" s="137">
        <v>0</v>
      </c>
      <c r="N31" s="137">
        <v>0</v>
      </c>
      <c r="O31" s="137">
        <f t="shared" si="1"/>
        <v>43200</v>
      </c>
    </row>
    <row r="32" spans="1:15" s="138" customFormat="1" ht="129.94999999999999" customHeight="1" x14ac:dyDescent="0.2">
      <c r="A32" s="139">
        <v>24</v>
      </c>
      <c r="B32" s="140" t="s">
        <v>371</v>
      </c>
      <c r="C32" s="132" t="s">
        <v>372</v>
      </c>
      <c r="D32" s="133" t="s">
        <v>373</v>
      </c>
      <c r="E32" s="134" t="s">
        <v>374</v>
      </c>
      <c r="F32" s="134" t="s">
        <v>19</v>
      </c>
      <c r="G32" s="134" t="s">
        <v>369</v>
      </c>
      <c r="H32" s="135" t="s">
        <v>375</v>
      </c>
      <c r="I32" s="137">
        <v>8625</v>
      </c>
      <c r="J32" s="137">
        <v>431.25</v>
      </c>
      <c r="K32" s="137">
        <v>431.25</v>
      </c>
      <c r="L32" s="137">
        <v>0</v>
      </c>
      <c r="M32" s="137">
        <v>0</v>
      </c>
      <c r="N32" s="137">
        <v>0</v>
      </c>
      <c r="O32" s="137">
        <f t="shared" si="1"/>
        <v>7762.5</v>
      </c>
    </row>
    <row r="33" spans="1:15" s="138" customFormat="1" ht="114.95" customHeight="1" x14ac:dyDescent="0.2">
      <c r="A33" s="139">
        <v>25</v>
      </c>
      <c r="B33" s="140" t="s">
        <v>371</v>
      </c>
      <c r="C33" s="132" t="s">
        <v>376</v>
      </c>
      <c r="D33" s="133" t="s">
        <v>377</v>
      </c>
      <c r="E33" s="134" t="s">
        <v>335</v>
      </c>
      <c r="F33" s="134" t="s">
        <v>19</v>
      </c>
      <c r="G33" s="134" t="s">
        <v>378</v>
      </c>
      <c r="H33" s="135" t="s">
        <v>379</v>
      </c>
      <c r="I33" s="137">
        <v>285000</v>
      </c>
      <c r="J33" s="137">
        <v>14250</v>
      </c>
      <c r="K33" s="137">
        <v>14250</v>
      </c>
      <c r="L33" s="137">
        <v>0</v>
      </c>
      <c r="M33" s="137">
        <v>0</v>
      </c>
      <c r="N33" s="137">
        <v>0</v>
      </c>
      <c r="O33" s="137">
        <f t="shared" si="1"/>
        <v>256500</v>
      </c>
    </row>
    <row r="34" spans="1:15" s="138" customFormat="1" ht="178.5" customHeight="1" x14ac:dyDescent="0.2">
      <c r="A34" s="139">
        <v>26</v>
      </c>
      <c r="B34" s="140" t="s">
        <v>380</v>
      </c>
      <c r="C34" s="133" t="s">
        <v>381</v>
      </c>
      <c r="D34" s="133" t="s">
        <v>382</v>
      </c>
      <c r="E34" s="134" t="s">
        <v>181</v>
      </c>
      <c r="F34" s="134" t="s">
        <v>383</v>
      </c>
      <c r="G34" s="134" t="s">
        <v>361</v>
      </c>
      <c r="H34" s="135" t="s">
        <v>384</v>
      </c>
      <c r="I34" s="137">
        <v>38000</v>
      </c>
      <c r="J34" s="137">
        <v>19000</v>
      </c>
      <c r="K34" s="137">
        <v>19000</v>
      </c>
      <c r="L34" s="137">
        <v>0</v>
      </c>
      <c r="M34" s="137">
        <v>0</v>
      </c>
      <c r="N34" s="137">
        <v>0</v>
      </c>
      <c r="O34" s="137">
        <f t="shared" si="1"/>
        <v>0</v>
      </c>
    </row>
    <row r="35" spans="1:15" s="138" customFormat="1" ht="110.1" customHeight="1" x14ac:dyDescent="0.2">
      <c r="A35" s="139">
        <v>27</v>
      </c>
      <c r="B35" s="140" t="s">
        <v>385</v>
      </c>
      <c r="C35" s="133" t="s">
        <v>386</v>
      </c>
      <c r="D35" s="133" t="s">
        <v>387</v>
      </c>
      <c r="E35" s="134" t="s">
        <v>388</v>
      </c>
      <c r="F35" s="134" t="s">
        <v>19</v>
      </c>
      <c r="G35" s="134" t="s">
        <v>389</v>
      </c>
      <c r="H35" s="135" t="s">
        <v>390</v>
      </c>
      <c r="I35" s="137">
        <v>133000</v>
      </c>
      <c r="J35" s="137">
        <v>0</v>
      </c>
      <c r="K35" s="137">
        <v>0</v>
      </c>
      <c r="L35" s="137">
        <v>0</v>
      </c>
      <c r="M35" s="137">
        <v>0</v>
      </c>
      <c r="N35" s="137">
        <v>0</v>
      </c>
      <c r="O35" s="137">
        <f t="shared" si="1"/>
        <v>133000</v>
      </c>
    </row>
    <row r="36" spans="1:15" s="138" customFormat="1" ht="114.95" customHeight="1" x14ac:dyDescent="0.2">
      <c r="A36" s="139">
        <v>28</v>
      </c>
      <c r="B36" s="140" t="s">
        <v>391</v>
      </c>
      <c r="C36" s="132" t="s">
        <v>392</v>
      </c>
      <c r="D36" s="133" t="s">
        <v>393</v>
      </c>
      <c r="E36" s="134" t="s">
        <v>115</v>
      </c>
      <c r="F36" s="134" t="s">
        <v>117</v>
      </c>
      <c r="G36" s="134" t="s">
        <v>394</v>
      </c>
      <c r="H36" s="135" t="s">
        <v>395</v>
      </c>
      <c r="I36" s="137">
        <v>1000</v>
      </c>
      <c r="J36" s="137">
        <v>0</v>
      </c>
      <c r="K36" s="137">
        <v>0</v>
      </c>
      <c r="L36" s="137">
        <v>0</v>
      </c>
      <c r="M36" s="137">
        <v>0</v>
      </c>
      <c r="N36" s="145" t="s">
        <v>311</v>
      </c>
      <c r="O36" s="137">
        <f t="shared" si="1"/>
        <v>1000</v>
      </c>
    </row>
    <row r="37" spans="1:15" s="138" customFormat="1" ht="216" customHeight="1" x14ac:dyDescent="0.2">
      <c r="A37" s="139">
        <v>29</v>
      </c>
      <c r="B37" s="140" t="s">
        <v>396</v>
      </c>
      <c r="C37" s="133" t="s">
        <v>397</v>
      </c>
      <c r="D37" s="133" t="s">
        <v>398</v>
      </c>
      <c r="E37" s="134" t="s">
        <v>199</v>
      </c>
      <c r="F37" s="134" t="s">
        <v>19</v>
      </c>
      <c r="G37" s="134" t="s">
        <v>399</v>
      </c>
      <c r="H37" s="135" t="s">
        <v>400</v>
      </c>
      <c r="I37" s="137">
        <v>960000</v>
      </c>
      <c r="J37" s="137">
        <v>48000</v>
      </c>
      <c r="K37" s="137">
        <v>48000</v>
      </c>
      <c r="L37" s="137">
        <v>0</v>
      </c>
      <c r="M37" s="137">
        <v>0</v>
      </c>
      <c r="N37" s="137">
        <v>0</v>
      </c>
      <c r="O37" s="137">
        <f t="shared" si="1"/>
        <v>864000</v>
      </c>
    </row>
    <row r="38" spans="1:15" s="138" customFormat="1" ht="129.94999999999999" customHeight="1" x14ac:dyDescent="0.2">
      <c r="A38" s="139">
        <v>30</v>
      </c>
      <c r="B38" s="140" t="s">
        <v>401</v>
      </c>
      <c r="C38" s="132" t="s">
        <v>402</v>
      </c>
      <c r="D38" s="133" t="s">
        <v>403</v>
      </c>
      <c r="E38" s="134" t="s">
        <v>404</v>
      </c>
      <c r="F38" s="134" t="s">
        <v>161</v>
      </c>
      <c r="G38" s="134" t="s">
        <v>405</v>
      </c>
      <c r="H38" s="135" t="s">
        <v>406</v>
      </c>
      <c r="I38" s="137">
        <v>787730.12</v>
      </c>
      <c r="J38" s="137">
        <v>39386.5</v>
      </c>
      <c r="K38" s="137">
        <v>39386.5</v>
      </c>
      <c r="L38" s="137">
        <v>0</v>
      </c>
      <c r="M38" s="137">
        <v>0</v>
      </c>
      <c r="N38" s="137">
        <v>0</v>
      </c>
      <c r="O38" s="137">
        <f t="shared" si="1"/>
        <v>708957.12</v>
      </c>
    </row>
    <row r="39" spans="1:15" s="138" customFormat="1" ht="210.95" customHeight="1" x14ac:dyDescent="0.2">
      <c r="A39" s="139">
        <v>31</v>
      </c>
      <c r="B39" s="140" t="s">
        <v>407</v>
      </c>
      <c r="C39" s="132" t="s">
        <v>408</v>
      </c>
      <c r="D39" s="133" t="s">
        <v>409</v>
      </c>
      <c r="E39" s="134" t="s">
        <v>335</v>
      </c>
      <c r="F39" s="134" t="s">
        <v>19</v>
      </c>
      <c r="G39" s="134" t="s">
        <v>336</v>
      </c>
      <c r="H39" s="135" t="s">
        <v>410</v>
      </c>
      <c r="I39" s="137">
        <v>190000</v>
      </c>
      <c r="J39" s="137">
        <v>9500</v>
      </c>
      <c r="K39" s="137">
        <v>9500</v>
      </c>
      <c r="L39" s="137">
        <v>0</v>
      </c>
      <c r="M39" s="137">
        <v>0</v>
      </c>
      <c r="N39" s="137">
        <v>0</v>
      </c>
      <c r="O39" s="137">
        <f t="shared" si="1"/>
        <v>171000</v>
      </c>
    </row>
    <row r="40" spans="1:15" s="138" customFormat="1" ht="93.95" customHeight="1" x14ac:dyDescent="0.2">
      <c r="A40" s="139">
        <v>32</v>
      </c>
      <c r="B40" s="140" t="s">
        <v>411</v>
      </c>
      <c r="C40" s="133" t="s">
        <v>412</v>
      </c>
      <c r="D40" s="133" t="s">
        <v>413</v>
      </c>
      <c r="E40" s="134" t="s">
        <v>115</v>
      </c>
      <c r="F40" s="134" t="s">
        <v>117</v>
      </c>
      <c r="G40" s="134" t="s">
        <v>318</v>
      </c>
      <c r="H40" s="135" t="s">
        <v>274</v>
      </c>
      <c r="I40" s="137">
        <v>10000</v>
      </c>
      <c r="J40" s="137">
        <v>500</v>
      </c>
      <c r="K40" s="137">
        <v>500</v>
      </c>
      <c r="L40" s="137">
        <v>0</v>
      </c>
      <c r="M40" s="137">
        <v>0</v>
      </c>
      <c r="N40" s="137">
        <v>0</v>
      </c>
      <c r="O40" s="137">
        <f t="shared" si="1"/>
        <v>9000</v>
      </c>
    </row>
    <row r="41" spans="1:15" s="138" customFormat="1" ht="129.94999999999999" customHeight="1" x14ac:dyDescent="0.2">
      <c r="A41" s="139">
        <v>33</v>
      </c>
      <c r="B41" s="140" t="s">
        <v>414</v>
      </c>
      <c r="C41" s="132" t="s">
        <v>415</v>
      </c>
      <c r="D41" s="133" t="s">
        <v>416</v>
      </c>
      <c r="E41" s="134" t="s">
        <v>404</v>
      </c>
      <c r="F41" s="134" t="s">
        <v>161</v>
      </c>
      <c r="G41" s="134" t="s">
        <v>405</v>
      </c>
      <c r="H41" s="135" t="s">
        <v>417</v>
      </c>
      <c r="I41" s="137">
        <v>1969325.3</v>
      </c>
      <c r="J41" s="137">
        <v>98466.25</v>
      </c>
      <c r="K41" s="137">
        <v>98466.25</v>
      </c>
      <c r="L41" s="137">
        <v>0</v>
      </c>
      <c r="M41" s="137">
        <v>0</v>
      </c>
      <c r="N41" s="137">
        <v>0</v>
      </c>
      <c r="O41" s="137">
        <f t="shared" si="1"/>
        <v>1772392.8</v>
      </c>
    </row>
    <row r="42" spans="1:15" s="138" customFormat="1" ht="93.95" customHeight="1" x14ac:dyDescent="0.2">
      <c r="A42" s="139">
        <v>34</v>
      </c>
      <c r="B42" s="140" t="s">
        <v>418</v>
      </c>
      <c r="C42" s="133" t="s">
        <v>419</v>
      </c>
      <c r="D42" s="133" t="s">
        <v>420</v>
      </c>
      <c r="E42" s="134" t="s">
        <v>115</v>
      </c>
      <c r="F42" s="134" t="s">
        <v>117</v>
      </c>
      <c r="G42" s="134" t="s">
        <v>318</v>
      </c>
      <c r="H42" s="135" t="s">
        <v>421</v>
      </c>
      <c r="I42" s="137">
        <v>25000</v>
      </c>
      <c r="J42" s="137">
        <v>1250</v>
      </c>
      <c r="K42" s="137">
        <v>1250</v>
      </c>
      <c r="L42" s="137">
        <v>0</v>
      </c>
      <c r="M42" s="137">
        <v>0</v>
      </c>
      <c r="N42" s="137">
        <v>0</v>
      </c>
      <c r="O42" s="137">
        <f t="shared" si="1"/>
        <v>22500</v>
      </c>
    </row>
    <row r="43" spans="1:15" s="138" customFormat="1" ht="216" customHeight="1" x14ac:dyDescent="0.2">
      <c r="A43" s="139">
        <v>35</v>
      </c>
      <c r="B43" s="140" t="s">
        <v>422</v>
      </c>
      <c r="C43" s="132" t="s">
        <v>423</v>
      </c>
      <c r="D43" s="133" t="s">
        <v>424</v>
      </c>
      <c r="E43" s="134" t="s">
        <v>335</v>
      </c>
      <c r="F43" s="134" t="s">
        <v>19</v>
      </c>
      <c r="G43" s="134" t="s">
        <v>336</v>
      </c>
      <c r="H43" s="135" t="s">
        <v>425</v>
      </c>
      <c r="I43" s="137">
        <v>190000</v>
      </c>
      <c r="J43" s="137">
        <v>9500</v>
      </c>
      <c r="K43" s="137">
        <v>9500</v>
      </c>
      <c r="L43" s="137">
        <v>0</v>
      </c>
      <c r="M43" s="137">
        <v>0</v>
      </c>
      <c r="N43" s="137">
        <v>0</v>
      </c>
      <c r="O43" s="137">
        <f t="shared" si="1"/>
        <v>171000</v>
      </c>
    </row>
    <row r="44" spans="1:15" s="138" customFormat="1" ht="129.94999999999999" customHeight="1" x14ac:dyDescent="0.2">
      <c r="A44" s="139">
        <v>36</v>
      </c>
      <c r="B44" s="140" t="s">
        <v>426</v>
      </c>
      <c r="C44" s="132" t="s">
        <v>427</v>
      </c>
      <c r="D44" s="133" t="s">
        <v>428</v>
      </c>
      <c r="E44" s="134" t="s">
        <v>404</v>
      </c>
      <c r="F44" s="134" t="s">
        <v>161</v>
      </c>
      <c r="G44" s="134" t="s">
        <v>405</v>
      </c>
      <c r="H44" s="135" t="s">
        <v>429</v>
      </c>
      <c r="I44" s="137">
        <v>1181595.18</v>
      </c>
      <c r="J44" s="137">
        <v>59079.75</v>
      </c>
      <c r="K44" s="137">
        <v>59079.75</v>
      </c>
      <c r="L44" s="137"/>
      <c r="M44" s="137"/>
      <c r="N44" s="137"/>
      <c r="O44" s="137">
        <f t="shared" si="1"/>
        <v>1063435.68</v>
      </c>
    </row>
    <row r="45" spans="1:15" s="138" customFormat="1" ht="110.1" customHeight="1" x14ac:dyDescent="0.2">
      <c r="A45" s="139">
        <v>37</v>
      </c>
      <c r="B45" s="140" t="s">
        <v>430</v>
      </c>
      <c r="C45" s="132" t="s">
        <v>431</v>
      </c>
      <c r="D45" s="133" t="s">
        <v>432</v>
      </c>
      <c r="E45" s="134" t="s">
        <v>388</v>
      </c>
      <c r="F45" s="134" t="s">
        <v>19</v>
      </c>
      <c r="G45" s="134" t="s">
        <v>389</v>
      </c>
      <c r="H45" s="135" t="s">
        <v>390</v>
      </c>
      <c r="I45" s="137">
        <v>213845</v>
      </c>
      <c r="J45" s="137"/>
      <c r="K45" s="137"/>
      <c r="L45" s="137"/>
      <c r="M45" s="137"/>
      <c r="N45" s="137"/>
      <c r="O45" s="137">
        <f t="shared" si="1"/>
        <v>213845</v>
      </c>
    </row>
    <row r="46" spans="1:15" s="138" customFormat="1" ht="95.1" customHeight="1" x14ac:dyDescent="0.2">
      <c r="A46" s="139">
        <v>38</v>
      </c>
      <c r="B46" s="140" t="s">
        <v>433</v>
      </c>
      <c r="C46" s="132" t="s">
        <v>434</v>
      </c>
      <c r="D46" s="133" t="s">
        <v>435</v>
      </c>
      <c r="E46" s="134" t="s">
        <v>115</v>
      </c>
      <c r="F46" s="134" t="s">
        <v>117</v>
      </c>
      <c r="G46" s="134" t="s">
        <v>318</v>
      </c>
      <c r="H46" s="135" t="s">
        <v>274</v>
      </c>
      <c r="I46" s="137">
        <v>25000</v>
      </c>
      <c r="J46" s="137">
        <v>1250</v>
      </c>
      <c r="K46" s="137">
        <v>1250</v>
      </c>
      <c r="L46" s="137"/>
      <c r="M46" s="137"/>
      <c r="N46" s="137"/>
      <c r="O46" s="137">
        <f t="shared" si="1"/>
        <v>22500</v>
      </c>
    </row>
    <row r="47" spans="1:15" s="138" customFormat="1" ht="144" customHeight="1" x14ac:dyDescent="0.2">
      <c r="A47" s="139">
        <v>39</v>
      </c>
      <c r="B47" s="140">
        <v>241687</v>
      </c>
      <c r="C47" s="132" t="s">
        <v>436</v>
      </c>
      <c r="D47" s="133" t="s">
        <v>437</v>
      </c>
      <c r="E47" s="134" t="s">
        <v>404</v>
      </c>
      <c r="F47" s="134" t="s">
        <v>161</v>
      </c>
      <c r="G47" s="134" t="s">
        <v>405</v>
      </c>
      <c r="H47" s="135" t="s">
        <v>438</v>
      </c>
      <c r="I47" s="137">
        <v>207297.4</v>
      </c>
      <c r="J47" s="137">
        <v>10364.870000000001</v>
      </c>
      <c r="K47" s="137">
        <v>10364.870000000001</v>
      </c>
      <c r="L47" s="137"/>
      <c r="M47" s="137"/>
      <c r="N47" s="137"/>
      <c r="O47" s="137">
        <f t="shared" si="1"/>
        <v>186567.66</v>
      </c>
    </row>
    <row r="48" spans="1:15" s="138" customFormat="1" ht="95.1" customHeight="1" x14ac:dyDescent="0.2">
      <c r="A48" s="139">
        <v>40</v>
      </c>
      <c r="B48" s="140">
        <v>241689</v>
      </c>
      <c r="C48" s="132" t="s">
        <v>439</v>
      </c>
      <c r="D48" s="133" t="s">
        <v>440</v>
      </c>
      <c r="E48" s="134" t="s">
        <v>115</v>
      </c>
      <c r="F48" s="134" t="s">
        <v>117</v>
      </c>
      <c r="G48" s="134" t="s">
        <v>441</v>
      </c>
      <c r="H48" s="135" t="s">
        <v>421</v>
      </c>
      <c r="I48" s="137">
        <v>60000</v>
      </c>
      <c r="J48" s="137">
        <v>3000</v>
      </c>
      <c r="K48" s="137">
        <v>3000</v>
      </c>
      <c r="L48" s="137"/>
      <c r="M48" s="137"/>
      <c r="N48" s="137"/>
      <c r="O48" s="137">
        <f t="shared" si="1"/>
        <v>54000</v>
      </c>
    </row>
    <row r="49" spans="1:15" s="138" customFormat="1" ht="95.1" customHeight="1" x14ac:dyDescent="0.2">
      <c r="A49" s="139">
        <v>41</v>
      </c>
      <c r="B49" s="140">
        <v>241691</v>
      </c>
      <c r="C49" s="132" t="s">
        <v>442</v>
      </c>
      <c r="D49" s="133" t="s">
        <v>443</v>
      </c>
      <c r="E49" s="134" t="s">
        <v>115</v>
      </c>
      <c r="F49" s="134" t="s">
        <v>117</v>
      </c>
      <c r="G49" s="134" t="s">
        <v>444</v>
      </c>
      <c r="H49" s="135" t="s">
        <v>421</v>
      </c>
      <c r="I49" s="137">
        <v>128000</v>
      </c>
      <c r="J49" s="137">
        <v>6400</v>
      </c>
      <c r="K49" s="137">
        <v>6400</v>
      </c>
      <c r="L49" s="137"/>
      <c r="M49" s="137"/>
      <c r="N49" s="137"/>
      <c r="O49" s="137">
        <f t="shared" si="1"/>
        <v>115200</v>
      </c>
    </row>
    <row r="50" spans="1:15" s="138" customFormat="1" ht="95.1" customHeight="1" x14ac:dyDescent="0.2">
      <c r="A50" s="139">
        <v>42</v>
      </c>
      <c r="B50" s="140">
        <v>241697</v>
      </c>
      <c r="C50" s="132" t="s">
        <v>445</v>
      </c>
      <c r="D50" s="133" t="s">
        <v>446</v>
      </c>
      <c r="E50" s="134" t="s">
        <v>115</v>
      </c>
      <c r="F50" s="134" t="s">
        <v>117</v>
      </c>
      <c r="G50" s="134" t="s">
        <v>345</v>
      </c>
      <c r="H50" s="135" t="s">
        <v>421</v>
      </c>
      <c r="I50" s="137">
        <v>139000</v>
      </c>
      <c r="J50" s="137">
        <v>6950</v>
      </c>
      <c r="K50" s="137">
        <v>6950</v>
      </c>
      <c r="L50" s="137"/>
      <c r="M50" s="137"/>
      <c r="N50" s="137"/>
      <c r="O50" s="137">
        <f t="shared" si="1"/>
        <v>125100</v>
      </c>
    </row>
    <row r="51" spans="1:15" ht="20.100000000000001" customHeight="1" x14ac:dyDescent="0.3">
      <c r="A51" s="124" t="s">
        <v>447</v>
      </c>
      <c r="B51" s="125"/>
      <c r="C51" s="126"/>
      <c r="D51" s="126"/>
      <c r="E51" s="127"/>
      <c r="F51" s="128"/>
      <c r="G51" s="128"/>
      <c r="H51" s="128"/>
      <c r="I51" s="129">
        <f>SUM(I52:I65)</f>
        <v>2684918.98</v>
      </c>
      <c r="J51" s="129">
        <f t="shared" ref="J51:O51" si="2">SUM(J52:J65)</f>
        <v>110035.45</v>
      </c>
      <c r="K51" s="129">
        <f t="shared" si="2"/>
        <v>213902.95</v>
      </c>
      <c r="L51" s="129">
        <f t="shared" si="2"/>
        <v>105000</v>
      </c>
      <c r="M51" s="129">
        <f t="shared" si="2"/>
        <v>105000</v>
      </c>
      <c r="N51" s="129">
        <f t="shared" si="2"/>
        <v>0</v>
      </c>
      <c r="O51" s="129">
        <f t="shared" si="2"/>
        <v>2150980.58</v>
      </c>
    </row>
    <row r="52" spans="1:15" s="138" customFormat="1" ht="110.1" customHeight="1" x14ac:dyDescent="0.2">
      <c r="A52" s="139">
        <v>1</v>
      </c>
      <c r="B52" s="140" t="s">
        <v>448</v>
      </c>
      <c r="C52" s="142" t="s">
        <v>449</v>
      </c>
      <c r="D52" s="141" t="s">
        <v>450</v>
      </c>
      <c r="E52" s="143" t="s">
        <v>451</v>
      </c>
      <c r="F52" s="143" t="s">
        <v>22</v>
      </c>
      <c r="G52" s="143" t="s">
        <v>452</v>
      </c>
      <c r="H52" s="144" t="s">
        <v>453</v>
      </c>
      <c r="I52" s="137">
        <v>218680.63</v>
      </c>
      <c r="J52" s="137">
        <v>10934.03</v>
      </c>
      <c r="K52" s="137">
        <v>10934.03</v>
      </c>
      <c r="L52" s="137">
        <v>0</v>
      </c>
      <c r="M52" s="137">
        <v>0</v>
      </c>
      <c r="N52" s="137"/>
      <c r="O52" s="137">
        <f t="shared" si="1"/>
        <v>196812.57</v>
      </c>
    </row>
    <row r="53" spans="1:15" s="138" customFormat="1" ht="129.94999999999999" customHeight="1" x14ac:dyDescent="0.2">
      <c r="A53" s="139">
        <v>2</v>
      </c>
      <c r="B53" s="140" t="s">
        <v>454</v>
      </c>
      <c r="C53" s="142" t="s">
        <v>455</v>
      </c>
      <c r="D53" s="141" t="s">
        <v>456</v>
      </c>
      <c r="E53" s="143" t="s">
        <v>451</v>
      </c>
      <c r="F53" s="143" t="s">
        <v>22</v>
      </c>
      <c r="G53" s="143" t="s">
        <v>457</v>
      </c>
      <c r="H53" s="144" t="s">
        <v>458</v>
      </c>
      <c r="I53" s="137">
        <v>288000</v>
      </c>
      <c r="J53" s="137">
        <v>14400</v>
      </c>
      <c r="K53" s="137">
        <v>14400</v>
      </c>
      <c r="L53" s="137">
        <v>0</v>
      </c>
      <c r="M53" s="137">
        <v>0</v>
      </c>
      <c r="N53" s="137">
        <v>0</v>
      </c>
      <c r="O53" s="137">
        <f t="shared" si="1"/>
        <v>259200</v>
      </c>
    </row>
    <row r="54" spans="1:15" s="138" customFormat="1" ht="146.44999999999999" customHeight="1" x14ac:dyDescent="0.2">
      <c r="A54" s="139">
        <v>3</v>
      </c>
      <c r="B54" s="140" t="s">
        <v>385</v>
      </c>
      <c r="C54" s="132" t="s">
        <v>459</v>
      </c>
      <c r="D54" s="133" t="s">
        <v>460</v>
      </c>
      <c r="E54" s="134" t="s">
        <v>461</v>
      </c>
      <c r="F54" s="134" t="s">
        <v>22</v>
      </c>
      <c r="G54" s="134" t="s">
        <v>462</v>
      </c>
      <c r="H54" s="135" t="s">
        <v>463</v>
      </c>
      <c r="I54" s="137">
        <v>222000</v>
      </c>
      <c r="J54" s="137">
        <v>0</v>
      </c>
      <c r="K54" s="137">
        <v>0</v>
      </c>
      <c r="L54" s="137">
        <v>15000</v>
      </c>
      <c r="M54" s="137">
        <v>15000</v>
      </c>
      <c r="N54" s="137"/>
      <c r="O54" s="137">
        <f t="shared" si="1"/>
        <v>192000</v>
      </c>
    </row>
    <row r="55" spans="1:15" s="138" customFormat="1" ht="179.1" customHeight="1" x14ac:dyDescent="0.2">
      <c r="A55" s="139">
        <v>4</v>
      </c>
      <c r="B55" s="140" t="s">
        <v>464</v>
      </c>
      <c r="C55" s="132" t="s">
        <v>465</v>
      </c>
      <c r="D55" s="133" t="s">
        <v>466</v>
      </c>
      <c r="E55" s="134" t="s">
        <v>467</v>
      </c>
      <c r="F55" s="134" t="s">
        <v>22</v>
      </c>
      <c r="G55" s="134" t="s">
        <v>468</v>
      </c>
      <c r="H55" s="135" t="s">
        <v>469</v>
      </c>
      <c r="I55" s="137">
        <v>169490</v>
      </c>
      <c r="J55" s="137">
        <v>0</v>
      </c>
      <c r="K55" s="137">
        <v>0</v>
      </c>
      <c r="L55" s="137">
        <v>15000</v>
      </c>
      <c r="M55" s="137">
        <v>15000</v>
      </c>
      <c r="N55" s="137">
        <v>0</v>
      </c>
      <c r="O55" s="137">
        <f>+I55-J55-K55-L55-M55</f>
        <v>139490</v>
      </c>
    </row>
    <row r="56" spans="1:15" s="138" customFormat="1" ht="195.95" customHeight="1" x14ac:dyDescent="0.2">
      <c r="A56" s="139">
        <v>5</v>
      </c>
      <c r="B56" s="140" t="s">
        <v>464</v>
      </c>
      <c r="C56" s="133" t="s">
        <v>470</v>
      </c>
      <c r="D56" s="133" t="s">
        <v>471</v>
      </c>
      <c r="E56" s="134" t="s">
        <v>472</v>
      </c>
      <c r="F56" s="134" t="s">
        <v>22</v>
      </c>
      <c r="G56" s="134" t="s">
        <v>468</v>
      </c>
      <c r="H56" s="135" t="s">
        <v>473</v>
      </c>
      <c r="I56" s="137">
        <v>171160</v>
      </c>
      <c r="J56" s="137">
        <v>0</v>
      </c>
      <c r="K56" s="137">
        <v>0</v>
      </c>
      <c r="L56" s="137">
        <v>15000</v>
      </c>
      <c r="M56" s="137">
        <v>15000</v>
      </c>
      <c r="N56" s="137">
        <v>0</v>
      </c>
      <c r="O56" s="137">
        <f t="shared" ref="O56:O65" si="3">+I56-J56-K56-L56-M56</f>
        <v>141160</v>
      </c>
    </row>
    <row r="57" spans="1:15" s="138" customFormat="1" ht="164.1" customHeight="1" x14ac:dyDescent="0.2">
      <c r="A57" s="139">
        <v>6</v>
      </c>
      <c r="B57" s="140" t="s">
        <v>464</v>
      </c>
      <c r="C57" s="132" t="s">
        <v>470</v>
      </c>
      <c r="D57" s="133" t="s">
        <v>474</v>
      </c>
      <c r="E57" s="134" t="s">
        <v>475</v>
      </c>
      <c r="F57" s="134" t="s">
        <v>22</v>
      </c>
      <c r="G57" s="134" t="s">
        <v>468</v>
      </c>
      <c r="H57" s="135" t="s">
        <v>476</v>
      </c>
      <c r="I57" s="137">
        <v>190000</v>
      </c>
      <c r="J57" s="137">
        <v>0</v>
      </c>
      <c r="K57" s="137">
        <v>0</v>
      </c>
      <c r="L57" s="137">
        <v>15000</v>
      </c>
      <c r="M57" s="137">
        <v>15000</v>
      </c>
      <c r="N57" s="137">
        <v>0</v>
      </c>
      <c r="O57" s="137">
        <f t="shared" si="3"/>
        <v>160000</v>
      </c>
    </row>
    <row r="58" spans="1:15" s="138" customFormat="1" ht="110.1" customHeight="1" x14ac:dyDescent="0.2">
      <c r="A58" s="139">
        <v>7</v>
      </c>
      <c r="B58" s="140" t="s">
        <v>477</v>
      </c>
      <c r="C58" s="132" t="s">
        <v>478</v>
      </c>
      <c r="D58" s="133" t="s">
        <v>479</v>
      </c>
      <c r="E58" s="134" t="s">
        <v>451</v>
      </c>
      <c r="F58" s="134" t="s">
        <v>22</v>
      </c>
      <c r="G58" s="143" t="s">
        <v>452</v>
      </c>
      <c r="H58" s="144" t="s">
        <v>480</v>
      </c>
      <c r="I58" s="137">
        <v>210111.84</v>
      </c>
      <c r="J58" s="137">
        <v>10505.59</v>
      </c>
      <c r="K58" s="137">
        <v>10505.59</v>
      </c>
      <c r="L58" s="137">
        <v>0</v>
      </c>
      <c r="M58" s="137">
        <v>0</v>
      </c>
      <c r="N58" s="137">
        <v>0</v>
      </c>
      <c r="O58" s="137">
        <f t="shared" si="3"/>
        <v>189100.66</v>
      </c>
    </row>
    <row r="59" spans="1:15" s="138" customFormat="1" ht="110.1" customHeight="1" x14ac:dyDescent="0.2">
      <c r="A59" s="139">
        <v>8</v>
      </c>
      <c r="B59" s="140" t="s">
        <v>477</v>
      </c>
      <c r="C59" s="132" t="s">
        <v>481</v>
      </c>
      <c r="D59" s="133" t="s">
        <v>482</v>
      </c>
      <c r="E59" s="134" t="s">
        <v>451</v>
      </c>
      <c r="F59" s="134" t="s">
        <v>22</v>
      </c>
      <c r="G59" s="134" t="s">
        <v>483</v>
      </c>
      <c r="H59" s="135" t="s">
        <v>484</v>
      </c>
      <c r="I59" s="137">
        <v>368241.51</v>
      </c>
      <c r="J59" s="137">
        <v>18412.080000000002</v>
      </c>
      <c r="K59" s="137">
        <v>18412.080000000002</v>
      </c>
      <c r="L59" s="137">
        <v>0</v>
      </c>
      <c r="M59" s="137">
        <v>0</v>
      </c>
      <c r="N59" s="137">
        <v>0</v>
      </c>
      <c r="O59" s="137">
        <f t="shared" si="3"/>
        <v>331417.34999999998</v>
      </c>
    </row>
    <row r="60" spans="1:15" s="138" customFormat="1" ht="111.95" customHeight="1" x14ac:dyDescent="0.2">
      <c r="A60" s="139">
        <v>9</v>
      </c>
      <c r="B60" s="140" t="s">
        <v>485</v>
      </c>
      <c r="C60" s="132" t="s">
        <v>486</v>
      </c>
      <c r="D60" s="133" t="s">
        <v>487</v>
      </c>
      <c r="E60" s="134" t="s">
        <v>451</v>
      </c>
      <c r="F60" s="134" t="s">
        <v>22</v>
      </c>
      <c r="G60" s="143" t="s">
        <v>457</v>
      </c>
      <c r="H60" s="144" t="s">
        <v>488</v>
      </c>
      <c r="I60" s="137">
        <f>32000+45000</f>
        <v>77000</v>
      </c>
      <c r="J60" s="137">
        <v>3850</v>
      </c>
      <c r="K60" s="137">
        <v>3850</v>
      </c>
      <c r="L60" s="137">
        <v>0</v>
      </c>
      <c r="M60" s="137">
        <v>0</v>
      </c>
      <c r="N60" s="137">
        <v>0</v>
      </c>
      <c r="O60" s="137">
        <f t="shared" si="3"/>
        <v>69300</v>
      </c>
    </row>
    <row r="61" spans="1:15" s="138" customFormat="1" ht="150" customHeight="1" x14ac:dyDescent="0.2">
      <c r="A61" s="139">
        <v>10</v>
      </c>
      <c r="B61" s="140" t="s">
        <v>489</v>
      </c>
      <c r="C61" s="132" t="s">
        <v>490</v>
      </c>
      <c r="D61" s="133" t="s">
        <v>491</v>
      </c>
      <c r="E61" s="134" t="s">
        <v>492</v>
      </c>
      <c r="F61" s="134" t="s">
        <v>22</v>
      </c>
      <c r="G61" s="134" t="s">
        <v>493</v>
      </c>
      <c r="H61" s="135" t="s">
        <v>494</v>
      </c>
      <c r="I61" s="137">
        <v>175000</v>
      </c>
      <c r="J61" s="137">
        <v>0</v>
      </c>
      <c r="K61" s="137">
        <v>0</v>
      </c>
      <c r="L61" s="137">
        <v>15000</v>
      </c>
      <c r="M61" s="137">
        <v>15000</v>
      </c>
      <c r="N61" s="137">
        <v>0</v>
      </c>
      <c r="O61" s="137">
        <f t="shared" si="3"/>
        <v>145000</v>
      </c>
    </row>
    <row r="62" spans="1:15" s="138" customFormat="1" ht="114.95" customHeight="1" x14ac:dyDescent="0.2">
      <c r="A62" s="139">
        <v>11</v>
      </c>
      <c r="B62" s="140" t="s">
        <v>489</v>
      </c>
      <c r="C62" s="132" t="s">
        <v>495</v>
      </c>
      <c r="D62" s="133" t="s">
        <v>496</v>
      </c>
      <c r="E62" s="134" t="s">
        <v>497</v>
      </c>
      <c r="F62" s="134" t="s">
        <v>22</v>
      </c>
      <c r="G62" s="134" t="s">
        <v>493</v>
      </c>
      <c r="H62" s="135" t="s">
        <v>498</v>
      </c>
      <c r="I62" s="137">
        <v>190000</v>
      </c>
      <c r="J62" s="137">
        <v>0</v>
      </c>
      <c r="K62" s="137">
        <v>0</v>
      </c>
      <c r="L62" s="137">
        <v>15000</v>
      </c>
      <c r="M62" s="137">
        <v>15000</v>
      </c>
      <c r="N62" s="137">
        <v>0</v>
      </c>
      <c r="O62" s="137">
        <f t="shared" si="3"/>
        <v>160000</v>
      </c>
    </row>
    <row r="63" spans="1:15" s="138" customFormat="1" ht="114.95" customHeight="1" x14ac:dyDescent="0.2">
      <c r="A63" s="139">
        <v>12</v>
      </c>
      <c r="B63" s="140" t="s">
        <v>499</v>
      </c>
      <c r="C63" s="132" t="s">
        <v>500</v>
      </c>
      <c r="D63" s="133" t="s">
        <v>501</v>
      </c>
      <c r="E63" s="134" t="s">
        <v>170</v>
      </c>
      <c r="F63" s="134" t="s">
        <v>22</v>
      </c>
      <c r="G63" s="134" t="s">
        <v>502</v>
      </c>
      <c r="H63" s="135" t="s">
        <v>503</v>
      </c>
      <c r="I63" s="137">
        <v>19000</v>
      </c>
      <c r="J63" s="137"/>
      <c r="K63" s="137"/>
      <c r="L63" s="137"/>
      <c r="M63" s="137"/>
      <c r="N63" s="145"/>
      <c r="O63" s="137">
        <f t="shared" si="3"/>
        <v>19000</v>
      </c>
    </row>
    <row r="64" spans="1:15" s="138" customFormat="1" ht="200.1" customHeight="1" x14ac:dyDescent="0.2">
      <c r="A64" s="139">
        <v>13</v>
      </c>
      <c r="B64" s="140" t="s">
        <v>499</v>
      </c>
      <c r="C64" s="132" t="s">
        <v>504</v>
      </c>
      <c r="D64" s="133" t="s">
        <v>505</v>
      </c>
      <c r="E64" s="134" t="s">
        <v>506</v>
      </c>
      <c r="F64" s="134" t="s">
        <v>22</v>
      </c>
      <c r="G64" s="134" t="s">
        <v>507</v>
      </c>
      <c r="H64" s="135" t="s">
        <v>508</v>
      </c>
      <c r="I64" s="137">
        <v>207735</v>
      </c>
      <c r="J64" s="137">
        <v>51933.75</v>
      </c>
      <c r="K64" s="137">
        <v>155801.25</v>
      </c>
      <c r="L64" s="137"/>
      <c r="M64" s="137"/>
      <c r="N64" s="137"/>
      <c r="O64" s="137">
        <f t="shared" si="3"/>
        <v>0</v>
      </c>
    </row>
    <row r="65" spans="1:15" s="138" customFormat="1" ht="68.25" customHeight="1" x14ac:dyDescent="0.2">
      <c r="A65" s="139">
        <v>14</v>
      </c>
      <c r="B65" s="140">
        <v>241676</v>
      </c>
      <c r="C65" s="132" t="s">
        <v>509</v>
      </c>
      <c r="D65" s="133" t="s">
        <v>510</v>
      </c>
      <c r="E65" s="134" t="s">
        <v>511</v>
      </c>
      <c r="F65" s="134" t="s">
        <v>512</v>
      </c>
      <c r="G65" s="134" t="s">
        <v>513</v>
      </c>
      <c r="H65" s="135" t="s">
        <v>514</v>
      </c>
      <c r="I65" s="137">
        <v>178500</v>
      </c>
      <c r="J65" s="137"/>
      <c r="K65" s="137"/>
      <c r="L65" s="137">
        <v>15000</v>
      </c>
      <c r="M65" s="137">
        <v>15000</v>
      </c>
      <c r="N65" s="137"/>
      <c r="O65" s="137">
        <f t="shared" si="3"/>
        <v>148500</v>
      </c>
    </row>
    <row r="66" spans="1:15" ht="20.100000000000001" customHeight="1" x14ac:dyDescent="0.3">
      <c r="A66" s="124" t="s">
        <v>515</v>
      </c>
      <c r="B66" s="125"/>
      <c r="C66" s="126"/>
      <c r="D66" s="126"/>
      <c r="E66" s="127"/>
      <c r="F66" s="128"/>
      <c r="G66" s="128"/>
      <c r="H66" s="128"/>
      <c r="I66" s="129">
        <f>SUM(I67)</f>
        <v>0</v>
      </c>
      <c r="J66" s="129">
        <f t="shared" ref="J66:O66" si="4">SUM(J67)</f>
        <v>0</v>
      </c>
      <c r="K66" s="129">
        <f t="shared" si="4"/>
        <v>0</v>
      </c>
      <c r="L66" s="129">
        <f t="shared" si="4"/>
        <v>0</v>
      </c>
      <c r="M66" s="129">
        <f t="shared" si="4"/>
        <v>0</v>
      </c>
      <c r="N66" s="129">
        <f t="shared" si="4"/>
        <v>0</v>
      </c>
      <c r="O66" s="129">
        <f t="shared" si="4"/>
        <v>0</v>
      </c>
    </row>
    <row r="67" spans="1:15" s="151" customFormat="1" ht="20.100000000000001" customHeight="1" x14ac:dyDescent="0.2">
      <c r="A67" s="146"/>
      <c r="B67" s="147"/>
      <c r="C67" s="146"/>
      <c r="D67" s="146"/>
      <c r="E67" s="148"/>
      <c r="F67" s="149"/>
      <c r="G67" s="149"/>
      <c r="H67" s="149"/>
      <c r="I67" s="150"/>
      <c r="J67" s="150"/>
      <c r="K67" s="150"/>
      <c r="L67" s="150"/>
      <c r="M67" s="150"/>
      <c r="N67" s="150"/>
      <c r="O67" s="150"/>
    </row>
    <row r="68" spans="1:15" s="153" customFormat="1" ht="20.100000000000001" customHeight="1" x14ac:dyDescent="0.2">
      <c r="A68" s="592" t="s">
        <v>516</v>
      </c>
      <c r="B68" s="593"/>
      <c r="C68" s="593"/>
      <c r="D68" s="593"/>
      <c r="E68" s="593"/>
      <c r="F68" s="593"/>
      <c r="G68" s="593"/>
      <c r="H68" s="594"/>
      <c r="I68" s="152">
        <f t="shared" ref="I68:O68" si="5">+I8+I51+I66</f>
        <v>13431736.98</v>
      </c>
      <c r="J68" s="152">
        <f t="shared" si="5"/>
        <v>632809.06999999995</v>
      </c>
      <c r="K68" s="152">
        <f t="shared" si="5"/>
        <v>736676.57000000007</v>
      </c>
      <c r="L68" s="152">
        <f t="shared" si="5"/>
        <v>112500</v>
      </c>
      <c r="M68" s="152">
        <f t="shared" si="5"/>
        <v>112500</v>
      </c>
      <c r="N68" s="152">
        <f t="shared" si="5"/>
        <v>0</v>
      </c>
      <c r="O68" s="152">
        <f t="shared" si="5"/>
        <v>11837251.34</v>
      </c>
    </row>
  </sheetData>
  <mergeCells count="18">
    <mergeCell ref="E6:E7"/>
    <mergeCell ref="F6:F7"/>
    <mergeCell ref="G6:G7"/>
    <mergeCell ref="H6:H7"/>
    <mergeCell ref="I6:I7"/>
    <mergeCell ref="A68:H68"/>
    <mergeCell ref="A1:O1"/>
    <mergeCell ref="A2:O2"/>
    <mergeCell ref="A3:O3"/>
    <mergeCell ref="A5:A7"/>
    <mergeCell ref="B5:I5"/>
    <mergeCell ref="J5:M5"/>
    <mergeCell ref="O5:O7"/>
    <mergeCell ref="B6:B7"/>
    <mergeCell ref="C6:C7"/>
    <mergeCell ref="J6:K6"/>
    <mergeCell ref="L6:N6"/>
    <mergeCell ref="D6:D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60"/>
  <sheetViews>
    <sheetView topLeftCell="A55" workbookViewId="0">
      <selection sqref="A1:G1"/>
    </sheetView>
  </sheetViews>
  <sheetFormatPr defaultRowHeight="19.5" x14ac:dyDescent="0.4"/>
  <cols>
    <col min="1" max="1" width="8.375" style="90" customWidth="1"/>
    <col min="2" max="2" width="18.625" style="90" customWidth="1"/>
    <col min="3" max="3" width="82.25" style="90" customWidth="1"/>
    <col min="4" max="4" width="22.75" style="90" customWidth="1"/>
    <col min="5" max="5" width="12.375" style="90" customWidth="1"/>
    <col min="6" max="6" width="10.375" style="91" customWidth="1"/>
    <col min="7" max="7" width="13.625" style="8" customWidth="1"/>
    <col min="8" max="8" width="0.5" style="91" customWidth="1"/>
    <col min="9" max="11" width="13.625" style="91" customWidth="1"/>
    <col min="12" max="12" width="0.5" style="91" customWidth="1"/>
    <col min="13" max="13" width="13.625" style="93" customWidth="1"/>
    <col min="14" max="14" width="10.625" style="8" customWidth="1"/>
    <col min="15" max="15" width="13.625" style="93" customWidth="1"/>
    <col min="16" max="16" width="10.625" style="8" customWidth="1"/>
    <col min="17" max="17" width="13.625" style="93" customWidth="1"/>
    <col min="18" max="18" width="10.625" style="8" customWidth="1"/>
    <col min="19" max="19" width="0.5" style="8" customWidth="1"/>
    <col min="20" max="22" width="10.625" style="8" customWidth="1"/>
    <col min="23" max="16384" width="9" style="8"/>
  </cols>
  <sheetData>
    <row r="1" spans="1:22" ht="20.25" x14ac:dyDescent="0.45">
      <c r="A1" s="626" t="s">
        <v>94</v>
      </c>
      <c r="B1" s="626"/>
      <c r="C1" s="626"/>
      <c r="D1" s="626"/>
      <c r="E1" s="626"/>
      <c r="F1" s="626"/>
      <c r="G1" s="626"/>
      <c r="H1" s="6"/>
      <c r="I1" s="6"/>
      <c r="J1" s="6"/>
      <c r="K1" s="6"/>
      <c r="L1" s="6"/>
      <c r="M1" s="7"/>
      <c r="N1" s="6"/>
      <c r="O1" s="7"/>
      <c r="P1" s="6"/>
      <c r="Q1" s="7"/>
      <c r="R1" s="6"/>
      <c r="S1" s="6"/>
      <c r="T1" s="6"/>
      <c r="U1" s="6"/>
      <c r="V1" s="6"/>
    </row>
    <row r="2" spans="1:22" s="12" customFormat="1" ht="20.25" x14ac:dyDescent="0.45">
      <c r="A2" s="627" t="s">
        <v>1</v>
      </c>
      <c r="B2" s="627" t="s">
        <v>95</v>
      </c>
      <c r="C2" s="627" t="s">
        <v>10</v>
      </c>
      <c r="D2" s="628" t="s">
        <v>3</v>
      </c>
      <c r="E2" s="627" t="s">
        <v>2</v>
      </c>
      <c r="F2" s="628" t="s">
        <v>4</v>
      </c>
      <c r="G2" s="629" t="s">
        <v>96</v>
      </c>
      <c r="H2" s="9"/>
      <c r="I2" s="614"/>
      <c r="J2" s="614"/>
      <c r="K2" s="614"/>
      <c r="L2" s="10"/>
      <c r="M2" s="615" t="s">
        <v>6</v>
      </c>
      <c r="N2" s="615"/>
      <c r="O2" s="615"/>
      <c r="P2" s="615"/>
      <c r="Q2" s="615"/>
      <c r="R2" s="615"/>
      <c r="S2" s="11"/>
      <c r="T2" s="616" t="s">
        <v>7</v>
      </c>
      <c r="U2" s="616"/>
      <c r="V2" s="616"/>
    </row>
    <row r="3" spans="1:22" s="12" customFormat="1" ht="20.25" x14ac:dyDescent="0.45">
      <c r="A3" s="627"/>
      <c r="B3" s="627"/>
      <c r="C3" s="627"/>
      <c r="D3" s="628"/>
      <c r="E3" s="627"/>
      <c r="F3" s="628"/>
      <c r="G3" s="630"/>
      <c r="H3" s="9"/>
      <c r="I3" s="617" t="s">
        <v>97</v>
      </c>
      <c r="J3" s="618"/>
      <c r="K3" s="619" t="s">
        <v>98</v>
      </c>
      <c r="L3" s="13"/>
      <c r="M3" s="621" t="s">
        <v>99</v>
      </c>
      <c r="N3" s="621"/>
      <c r="O3" s="622" t="s">
        <v>100</v>
      </c>
      <c r="P3" s="622"/>
      <c r="Q3" s="623" t="s">
        <v>101</v>
      </c>
      <c r="R3" s="624"/>
      <c r="S3" s="14"/>
      <c r="T3" s="625" t="s">
        <v>102</v>
      </c>
      <c r="U3" s="625" t="s">
        <v>103</v>
      </c>
      <c r="V3" s="612" t="s">
        <v>3</v>
      </c>
    </row>
    <row r="4" spans="1:22" s="12" customFormat="1" ht="20.25" x14ac:dyDescent="0.45">
      <c r="A4" s="627"/>
      <c r="B4" s="627"/>
      <c r="C4" s="627"/>
      <c r="D4" s="628"/>
      <c r="E4" s="627"/>
      <c r="F4" s="628"/>
      <c r="G4" s="631"/>
      <c r="H4" s="9"/>
      <c r="I4" s="15" t="s">
        <v>99</v>
      </c>
      <c r="J4" s="15" t="s">
        <v>104</v>
      </c>
      <c r="K4" s="620"/>
      <c r="L4" s="16"/>
      <c r="M4" s="17" t="s">
        <v>105</v>
      </c>
      <c r="N4" s="18" t="s">
        <v>4</v>
      </c>
      <c r="O4" s="19" t="s">
        <v>105</v>
      </c>
      <c r="P4" s="20" t="s">
        <v>4</v>
      </c>
      <c r="Q4" s="21" t="s">
        <v>105</v>
      </c>
      <c r="R4" s="22" t="s">
        <v>4</v>
      </c>
      <c r="S4" s="23"/>
      <c r="T4" s="613"/>
      <c r="U4" s="613"/>
      <c r="V4" s="613"/>
    </row>
    <row r="5" spans="1:22" s="12" customFormat="1" ht="20.25" x14ac:dyDescent="0.45">
      <c r="A5" s="24">
        <v>240970</v>
      </c>
      <c r="B5" s="24"/>
      <c r="C5" s="24"/>
      <c r="D5" s="25"/>
      <c r="E5" s="26"/>
      <c r="F5" s="27"/>
      <c r="G5" s="28"/>
      <c r="H5" s="29"/>
      <c r="I5" s="30"/>
      <c r="J5" s="30"/>
      <c r="K5" s="30"/>
      <c r="L5" s="31"/>
      <c r="M5" s="32"/>
      <c r="N5" s="33"/>
      <c r="O5" s="34"/>
      <c r="P5" s="33"/>
      <c r="Q5" s="32"/>
      <c r="R5" s="30"/>
      <c r="S5" s="35"/>
      <c r="T5" s="36">
        <v>306794.2</v>
      </c>
      <c r="U5" s="36">
        <f>75000-28000-32000</f>
        <v>15000</v>
      </c>
      <c r="V5" s="36">
        <v>0</v>
      </c>
    </row>
    <row r="6" spans="1:22" s="52" customFormat="1" ht="58.5" x14ac:dyDescent="0.2">
      <c r="A6" s="37">
        <v>240976</v>
      </c>
      <c r="B6" s="38" t="s">
        <v>106</v>
      </c>
      <c r="C6" s="39" t="s">
        <v>107</v>
      </c>
      <c r="D6" s="40" t="s">
        <v>108</v>
      </c>
      <c r="E6" s="41" t="s">
        <v>109</v>
      </c>
      <c r="F6" s="42">
        <v>28800</v>
      </c>
      <c r="G6" s="43" t="s">
        <v>110</v>
      </c>
      <c r="H6" s="44"/>
      <c r="I6" s="45">
        <v>14400</v>
      </c>
      <c r="J6" s="45">
        <v>0</v>
      </c>
      <c r="K6" s="45">
        <v>14400</v>
      </c>
      <c r="L6" s="46"/>
      <c r="M6" s="47"/>
      <c r="N6" s="48"/>
      <c r="O6" s="49"/>
      <c r="P6" s="48"/>
      <c r="Q6" s="49"/>
      <c r="R6" s="45"/>
      <c r="S6" s="50"/>
      <c r="T6" s="51">
        <f>+I6-N6</f>
        <v>14400</v>
      </c>
      <c r="U6" s="51">
        <f>+J6-P6</f>
        <v>0</v>
      </c>
      <c r="V6" s="51">
        <f>+K6-R6</f>
        <v>14400</v>
      </c>
    </row>
    <row r="7" spans="1:22" s="52" customFormat="1" ht="58.5" x14ac:dyDescent="0.2">
      <c r="A7" s="37">
        <v>240980</v>
      </c>
      <c r="B7" s="38" t="s">
        <v>111</v>
      </c>
      <c r="C7" s="39" t="s">
        <v>112</v>
      </c>
      <c r="D7" s="40" t="s">
        <v>19</v>
      </c>
      <c r="E7" s="41" t="s">
        <v>113</v>
      </c>
      <c r="F7" s="42">
        <v>1750000</v>
      </c>
      <c r="G7" s="53" t="s">
        <v>110</v>
      </c>
      <c r="H7" s="44"/>
      <c r="I7" s="45">
        <v>87500</v>
      </c>
      <c r="J7" s="45">
        <v>1575000</v>
      </c>
      <c r="K7" s="45">
        <v>87500</v>
      </c>
      <c r="L7" s="46"/>
      <c r="M7" s="47"/>
      <c r="N7" s="48"/>
      <c r="O7" s="49" t="s">
        <v>114</v>
      </c>
      <c r="P7" s="48">
        <v>1575000</v>
      </c>
      <c r="Q7" s="49"/>
      <c r="R7" s="45"/>
      <c r="S7" s="50"/>
      <c r="T7" s="51">
        <f t="shared" ref="T7:T51" si="0">+I7-N7</f>
        <v>87500</v>
      </c>
      <c r="U7" s="51">
        <f t="shared" ref="U7:U51" si="1">+J7-P7</f>
        <v>0</v>
      </c>
      <c r="V7" s="51">
        <f t="shared" ref="V7:V51" si="2">+K7-R7</f>
        <v>87500</v>
      </c>
    </row>
    <row r="8" spans="1:22" s="52" customFormat="1" ht="58.5" x14ac:dyDescent="0.2">
      <c r="A8" s="37">
        <v>240997</v>
      </c>
      <c r="B8" s="38" t="s">
        <v>115</v>
      </c>
      <c r="C8" s="39" t="s">
        <v>116</v>
      </c>
      <c r="D8" s="40" t="s">
        <v>117</v>
      </c>
      <c r="E8" s="41" t="s">
        <v>118</v>
      </c>
      <c r="F8" s="42">
        <v>610000</v>
      </c>
      <c r="G8" s="43" t="s">
        <v>119</v>
      </c>
      <c r="H8" s="44"/>
      <c r="I8" s="45">
        <v>30500</v>
      </c>
      <c r="J8" s="45">
        <v>549000</v>
      </c>
      <c r="K8" s="45">
        <v>30500</v>
      </c>
      <c r="L8" s="46"/>
      <c r="M8" s="47"/>
      <c r="N8" s="48"/>
      <c r="O8" s="49" t="s">
        <v>120</v>
      </c>
      <c r="P8" s="48">
        <v>549000</v>
      </c>
      <c r="Q8" s="49"/>
      <c r="R8" s="45"/>
      <c r="S8" s="50"/>
      <c r="T8" s="51">
        <f t="shared" si="0"/>
        <v>30500</v>
      </c>
      <c r="U8" s="51">
        <f t="shared" si="1"/>
        <v>0</v>
      </c>
      <c r="V8" s="51">
        <f t="shared" si="2"/>
        <v>30500</v>
      </c>
    </row>
    <row r="9" spans="1:22" s="52" customFormat="1" ht="39" x14ac:dyDescent="0.2">
      <c r="A9" s="37">
        <v>241004</v>
      </c>
      <c r="B9" s="38" t="s">
        <v>121</v>
      </c>
      <c r="C9" s="39" t="s">
        <v>122</v>
      </c>
      <c r="D9" s="40" t="s">
        <v>108</v>
      </c>
      <c r="E9" s="41" t="s">
        <v>123</v>
      </c>
      <c r="F9" s="42">
        <v>928000</v>
      </c>
      <c r="G9" s="53" t="s">
        <v>110</v>
      </c>
      <c r="H9" s="44"/>
      <c r="I9" s="45">
        <v>46400</v>
      </c>
      <c r="J9" s="45">
        <v>835200</v>
      </c>
      <c r="K9" s="45">
        <v>46400</v>
      </c>
      <c r="L9" s="46"/>
      <c r="M9" s="47"/>
      <c r="N9" s="48"/>
      <c r="O9" s="49" t="s">
        <v>124</v>
      </c>
      <c r="P9" s="48">
        <v>835200</v>
      </c>
      <c r="Q9" s="49"/>
      <c r="R9" s="45"/>
      <c r="S9" s="50"/>
      <c r="T9" s="51">
        <f t="shared" si="0"/>
        <v>46400</v>
      </c>
      <c r="U9" s="51">
        <f t="shared" si="1"/>
        <v>0</v>
      </c>
      <c r="V9" s="51">
        <f t="shared" si="2"/>
        <v>46400</v>
      </c>
    </row>
    <row r="10" spans="1:22" s="52" customFormat="1" ht="39" x14ac:dyDescent="0.2">
      <c r="A10" s="37">
        <v>241008</v>
      </c>
      <c r="B10" s="38" t="s">
        <v>115</v>
      </c>
      <c r="C10" s="39" t="s">
        <v>125</v>
      </c>
      <c r="D10" s="40" t="s">
        <v>117</v>
      </c>
      <c r="E10" s="41" t="s">
        <v>126</v>
      </c>
      <c r="F10" s="42">
        <v>297000</v>
      </c>
      <c r="G10" s="43" t="s">
        <v>119</v>
      </c>
      <c r="H10" s="44"/>
      <c r="I10" s="45">
        <v>14850</v>
      </c>
      <c r="J10" s="45">
        <v>267300</v>
      </c>
      <c r="K10" s="45">
        <v>14850</v>
      </c>
      <c r="L10" s="46"/>
      <c r="M10" s="47"/>
      <c r="N10" s="48"/>
      <c r="O10" s="49" t="s">
        <v>127</v>
      </c>
      <c r="P10" s="48">
        <v>267300</v>
      </c>
      <c r="Q10" s="49"/>
      <c r="R10" s="45"/>
      <c r="S10" s="50"/>
      <c r="T10" s="51">
        <f t="shared" si="0"/>
        <v>14850</v>
      </c>
      <c r="U10" s="51">
        <f t="shared" si="1"/>
        <v>0</v>
      </c>
      <c r="V10" s="51">
        <f t="shared" si="2"/>
        <v>14850</v>
      </c>
    </row>
    <row r="11" spans="1:22" s="52" customFormat="1" ht="78" x14ac:dyDescent="0.2">
      <c r="A11" s="37">
        <v>241014</v>
      </c>
      <c r="B11" s="38" t="s">
        <v>128</v>
      </c>
      <c r="C11" s="39" t="s">
        <v>129</v>
      </c>
      <c r="D11" s="40" t="s">
        <v>117</v>
      </c>
      <c r="E11" s="41" t="s">
        <v>130</v>
      </c>
      <c r="F11" s="42">
        <v>24000</v>
      </c>
      <c r="G11" s="53" t="s">
        <v>110</v>
      </c>
      <c r="H11" s="44"/>
      <c r="I11" s="45">
        <v>1200</v>
      </c>
      <c r="J11" s="45">
        <v>21600</v>
      </c>
      <c r="K11" s="45">
        <v>1200</v>
      </c>
      <c r="L11" s="46"/>
      <c r="M11" s="47"/>
      <c r="N11" s="48"/>
      <c r="O11" s="49" t="s">
        <v>131</v>
      </c>
      <c r="P11" s="48">
        <v>21600</v>
      </c>
      <c r="Q11" s="49"/>
      <c r="R11" s="45"/>
      <c r="S11" s="50"/>
      <c r="T11" s="51">
        <f t="shared" si="0"/>
        <v>1200</v>
      </c>
      <c r="U11" s="51">
        <f t="shared" si="1"/>
        <v>0</v>
      </c>
      <c r="V11" s="51">
        <f t="shared" si="2"/>
        <v>1200</v>
      </c>
    </row>
    <row r="12" spans="1:22" s="52" customFormat="1" ht="39" x14ac:dyDescent="0.2">
      <c r="A12" s="37">
        <v>241018</v>
      </c>
      <c r="B12" s="38" t="s">
        <v>115</v>
      </c>
      <c r="C12" s="39" t="s">
        <v>132</v>
      </c>
      <c r="D12" s="40" t="s">
        <v>117</v>
      </c>
      <c r="E12" s="41" t="s">
        <v>133</v>
      </c>
      <c r="F12" s="42">
        <v>203000</v>
      </c>
      <c r="G12" s="43" t="s">
        <v>119</v>
      </c>
      <c r="H12" s="44"/>
      <c r="I12" s="45">
        <v>10150</v>
      </c>
      <c r="J12" s="45">
        <v>182700</v>
      </c>
      <c r="K12" s="45">
        <v>10150</v>
      </c>
      <c r="L12" s="46"/>
      <c r="M12" s="47"/>
      <c r="N12" s="48"/>
      <c r="O12" s="49" t="s">
        <v>134</v>
      </c>
      <c r="P12" s="48">
        <v>182700</v>
      </c>
      <c r="Q12" s="49"/>
      <c r="R12" s="45"/>
      <c r="S12" s="50"/>
      <c r="T12" s="51">
        <f t="shared" si="0"/>
        <v>10150</v>
      </c>
      <c r="U12" s="51">
        <f t="shared" si="1"/>
        <v>0</v>
      </c>
      <c r="V12" s="51">
        <f t="shared" si="2"/>
        <v>10150</v>
      </c>
    </row>
    <row r="13" spans="1:22" s="52" customFormat="1" ht="58.5" x14ac:dyDescent="0.2">
      <c r="A13" s="37">
        <v>241029</v>
      </c>
      <c r="B13" s="38" t="s">
        <v>115</v>
      </c>
      <c r="C13" s="39" t="s">
        <v>135</v>
      </c>
      <c r="D13" s="40" t="s">
        <v>117</v>
      </c>
      <c r="E13" s="41" t="s">
        <v>136</v>
      </c>
      <c r="F13" s="42">
        <v>404000</v>
      </c>
      <c r="G13" s="43" t="s">
        <v>119</v>
      </c>
      <c r="H13" s="44"/>
      <c r="I13" s="45">
        <v>20200</v>
      </c>
      <c r="J13" s="45">
        <v>363600</v>
      </c>
      <c r="K13" s="45">
        <v>20200</v>
      </c>
      <c r="L13" s="46"/>
      <c r="M13" s="47"/>
      <c r="N13" s="48"/>
      <c r="O13" s="49" t="s">
        <v>137</v>
      </c>
      <c r="P13" s="48">
        <v>363600</v>
      </c>
      <c r="Q13" s="49"/>
      <c r="R13" s="45"/>
      <c r="S13" s="50"/>
      <c r="T13" s="51">
        <f t="shared" si="0"/>
        <v>20200</v>
      </c>
      <c r="U13" s="51">
        <f t="shared" si="1"/>
        <v>0</v>
      </c>
      <c r="V13" s="51">
        <f t="shared" si="2"/>
        <v>20200</v>
      </c>
    </row>
    <row r="14" spans="1:22" s="52" customFormat="1" ht="58.5" x14ac:dyDescent="0.2">
      <c r="A14" s="37">
        <v>241030</v>
      </c>
      <c r="B14" s="38" t="s">
        <v>115</v>
      </c>
      <c r="C14" s="39" t="s">
        <v>138</v>
      </c>
      <c r="D14" s="40" t="s">
        <v>117</v>
      </c>
      <c r="E14" s="41" t="s">
        <v>139</v>
      </c>
      <c r="F14" s="42">
        <v>423500</v>
      </c>
      <c r="G14" s="43" t="s">
        <v>119</v>
      </c>
      <c r="H14" s="44"/>
      <c r="I14" s="45">
        <v>21175</v>
      </c>
      <c r="J14" s="45">
        <v>381150</v>
      </c>
      <c r="K14" s="45">
        <v>21175</v>
      </c>
      <c r="L14" s="46"/>
      <c r="M14" s="47"/>
      <c r="N14" s="48"/>
      <c r="O14" s="49" t="s">
        <v>140</v>
      </c>
      <c r="P14" s="48">
        <v>381150</v>
      </c>
      <c r="Q14" s="49"/>
      <c r="R14" s="45"/>
      <c r="S14" s="50"/>
      <c r="T14" s="51">
        <f t="shared" si="0"/>
        <v>21175</v>
      </c>
      <c r="U14" s="51">
        <f t="shared" si="1"/>
        <v>0</v>
      </c>
      <c r="V14" s="51">
        <f t="shared" si="2"/>
        <v>21175</v>
      </c>
    </row>
    <row r="15" spans="1:22" s="52" customFormat="1" ht="78" x14ac:dyDescent="0.2">
      <c r="A15" s="37">
        <v>241039</v>
      </c>
      <c r="B15" s="38" t="s">
        <v>115</v>
      </c>
      <c r="C15" s="39" t="s">
        <v>141</v>
      </c>
      <c r="D15" s="40" t="s">
        <v>117</v>
      </c>
      <c r="E15" s="41" t="s">
        <v>142</v>
      </c>
      <c r="F15" s="42">
        <v>487000</v>
      </c>
      <c r="G15" s="53" t="s">
        <v>110</v>
      </c>
      <c r="H15" s="44"/>
      <c r="I15" s="45">
        <v>24350</v>
      </c>
      <c r="J15" s="45">
        <v>438300</v>
      </c>
      <c r="K15" s="45">
        <v>24350</v>
      </c>
      <c r="L15" s="46"/>
      <c r="M15" s="47"/>
      <c r="N15" s="48"/>
      <c r="O15" s="49" t="s">
        <v>143</v>
      </c>
      <c r="P15" s="48">
        <v>438300</v>
      </c>
      <c r="Q15" s="49"/>
      <c r="R15" s="45"/>
      <c r="S15" s="50"/>
      <c r="T15" s="51">
        <f t="shared" si="0"/>
        <v>24350</v>
      </c>
      <c r="U15" s="51">
        <f t="shared" si="1"/>
        <v>0</v>
      </c>
      <c r="V15" s="51">
        <f t="shared" si="2"/>
        <v>24350</v>
      </c>
    </row>
    <row r="16" spans="1:22" s="52" customFormat="1" ht="39" x14ac:dyDescent="0.2">
      <c r="A16" s="37">
        <v>241051</v>
      </c>
      <c r="B16" s="38" t="s">
        <v>115</v>
      </c>
      <c r="C16" s="39" t="s">
        <v>144</v>
      </c>
      <c r="D16" s="40" t="s">
        <v>117</v>
      </c>
      <c r="E16" s="41" t="s">
        <v>145</v>
      </c>
      <c r="F16" s="42">
        <v>25000</v>
      </c>
      <c r="G16" s="53" t="s">
        <v>110</v>
      </c>
      <c r="H16" s="44"/>
      <c r="I16" s="45">
        <v>1250</v>
      </c>
      <c r="J16" s="45">
        <v>22500</v>
      </c>
      <c r="K16" s="45">
        <v>1250</v>
      </c>
      <c r="L16" s="46"/>
      <c r="M16" s="47"/>
      <c r="N16" s="48"/>
      <c r="O16" s="49" t="s">
        <v>146</v>
      </c>
      <c r="P16" s="48">
        <v>22500</v>
      </c>
      <c r="Q16" s="49"/>
      <c r="R16" s="45"/>
      <c r="S16" s="50"/>
      <c r="T16" s="51">
        <f t="shared" si="0"/>
        <v>1250</v>
      </c>
      <c r="U16" s="51">
        <f t="shared" si="1"/>
        <v>0</v>
      </c>
      <c r="V16" s="51">
        <f t="shared" si="2"/>
        <v>1250</v>
      </c>
    </row>
    <row r="17" spans="1:22" s="52" customFormat="1" ht="39" x14ac:dyDescent="0.2">
      <c r="A17" s="37">
        <v>241051</v>
      </c>
      <c r="B17" s="38" t="s">
        <v>115</v>
      </c>
      <c r="C17" s="39" t="s">
        <v>147</v>
      </c>
      <c r="D17" s="40" t="s">
        <v>117</v>
      </c>
      <c r="E17" s="41" t="s">
        <v>148</v>
      </c>
      <c r="F17" s="42">
        <v>143000</v>
      </c>
      <c r="G17" s="43" t="s">
        <v>119</v>
      </c>
      <c r="H17" s="44"/>
      <c r="I17" s="45">
        <v>7150</v>
      </c>
      <c r="J17" s="45">
        <v>128700</v>
      </c>
      <c r="K17" s="45">
        <v>7150</v>
      </c>
      <c r="L17" s="46"/>
      <c r="M17" s="47"/>
      <c r="N17" s="48"/>
      <c r="O17" s="49" t="s">
        <v>149</v>
      </c>
      <c r="P17" s="48">
        <v>128700</v>
      </c>
      <c r="Q17" s="49"/>
      <c r="R17" s="45"/>
      <c r="S17" s="50"/>
      <c r="T17" s="51">
        <f t="shared" si="0"/>
        <v>7150</v>
      </c>
      <c r="U17" s="51">
        <f t="shared" si="1"/>
        <v>0</v>
      </c>
      <c r="V17" s="51">
        <f t="shared" si="2"/>
        <v>7150</v>
      </c>
    </row>
    <row r="18" spans="1:22" s="52" customFormat="1" x14ac:dyDescent="0.2">
      <c r="A18" s="37">
        <v>241055</v>
      </c>
      <c r="B18" s="38" t="s">
        <v>150</v>
      </c>
      <c r="C18" s="39" t="s">
        <v>151</v>
      </c>
      <c r="D18" s="40" t="s">
        <v>152</v>
      </c>
      <c r="E18" s="41" t="s">
        <v>11</v>
      </c>
      <c r="F18" s="42">
        <v>5202.26</v>
      </c>
      <c r="G18" s="53" t="s">
        <v>110</v>
      </c>
      <c r="H18" s="44"/>
      <c r="I18" s="45">
        <v>5202.26</v>
      </c>
      <c r="J18" s="45">
        <v>0</v>
      </c>
      <c r="K18" s="45">
        <v>0</v>
      </c>
      <c r="L18" s="46"/>
      <c r="M18" s="47"/>
      <c r="N18" s="48"/>
      <c r="O18" s="49"/>
      <c r="P18" s="48"/>
      <c r="Q18" s="49"/>
      <c r="R18" s="45"/>
      <c r="S18" s="50"/>
      <c r="T18" s="51">
        <f t="shared" si="0"/>
        <v>5202.26</v>
      </c>
      <c r="U18" s="51">
        <f t="shared" si="1"/>
        <v>0</v>
      </c>
      <c r="V18" s="51">
        <f t="shared" si="2"/>
        <v>0</v>
      </c>
    </row>
    <row r="19" spans="1:22" s="52" customFormat="1" x14ac:dyDescent="0.2">
      <c r="A19" s="37">
        <v>241061</v>
      </c>
      <c r="B19" s="38" t="s">
        <v>153</v>
      </c>
      <c r="C19" s="39" t="s">
        <v>151</v>
      </c>
      <c r="D19" s="40" t="s">
        <v>152</v>
      </c>
      <c r="E19" s="41" t="s">
        <v>11</v>
      </c>
      <c r="F19" s="42">
        <v>18364.25</v>
      </c>
      <c r="G19" s="43" t="s">
        <v>119</v>
      </c>
      <c r="H19" s="44"/>
      <c r="I19" s="45">
        <v>18364.25</v>
      </c>
      <c r="J19" s="45">
        <v>0</v>
      </c>
      <c r="K19" s="45">
        <v>0</v>
      </c>
      <c r="L19" s="46"/>
      <c r="M19" s="47"/>
      <c r="N19" s="48"/>
      <c r="O19" s="49"/>
      <c r="P19" s="48"/>
      <c r="Q19" s="49"/>
      <c r="R19" s="45"/>
      <c r="S19" s="50"/>
      <c r="T19" s="51">
        <f t="shared" si="0"/>
        <v>18364.25</v>
      </c>
      <c r="U19" s="51">
        <f t="shared" si="1"/>
        <v>0</v>
      </c>
      <c r="V19" s="51">
        <f t="shared" si="2"/>
        <v>0</v>
      </c>
    </row>
    <row r="20" spans="1:22" s="52" customFormat="1" ht="58.5" x14ac:dyDescent="0.2">
      <c r="A20" s="37">
        <v>241077</v>
      </c>
      <c r="B20" s="38" t="s">
        <v>154</v>
      </c>
      <c r="C20" s="39" t="s">
        <v>155</v>
      </c>
      <c r="D20" s="40" t="s">
        <v>156</v>
      </c>
      <c r="E20" s="41" t="s">
        <v>157</v>
      </c>
      <c r="F20" s="42">
        <v>60000</v>
      </c>
      <c r="G20" s="43" t="s">
        <v>119</v>
      </c>
      <c r="H20" s="44"/>
      <c r="I20" s="45">
        <v>3000</v>
      </c>
      <c r="J20" s="45">
        <v>54000</v>
      </c>
      <c r="K20" s="45">
        <v>3000</v>
      </c>
      <c r="L20" s="46"/>
      <c r="M20" s="47"/>
      <c r="N20" s="48"/>
      <c r="O20" s="49" t="s">
        <v>158</v>
      </c>
      <c r="P20" s="48">
        <v>54000</v>
      </c>
      <c r="Q20" s="49"/>
      <c r="R20" s="45"/>
      <c r="S20" s="50"/>
      <c r="T20" s="51">
        <f t="shared" si="0"/>
        <v>3000</v>
      </c>
      <c r="U20" s="51">
        <f t="shared" si="1"/>
        <v>0</v>
      </c>
      <c r="V20" s="51">
        <f t="shared" si="2"/>
        <v>3000</v>
      </c>
    </row>
    <row r="21" spans="1:22" s="52" customFormat="1" ht="39" x14ac:dyDescent="0.2">
      <c r="A21" s="37">
        <v>241081</v>
      </c>
      <c r="B21" s="38" t="s">
        <v>159</v>
      </c>
      <c r="C21" s="39" t="s">
        <v>160</v>
      </c>
      <c r="D21" s="40" t="s">
        <v>161</v>
      </c>
      <c r="E21" s="41" t="s">
        <v>162</v>
      </c>
      <c r="F21" s="42">
        <v>578550</v>
      </c>
      <c r="G21" s="43" t="s">
        <v>119</v>
      </c>
      <c r="H21" s="44"/>
      <c r="I21" s="45">
        <v>4000</v>
      </c>
      <c r="J21" s="45">
        <v>570550</v>
      </c>
      <c r="K21" s="45">
        <v>4000</v>
      </c>
      <c r="L21" s="46"/>
      <c r="M21" s="47"/>
      <c r="N21" s="48"/>
      <c r="O21" s="49" t="s">
        <v>163</v>
      </c>
      <c r="P21" s="48">
        <v>570550</v>
      </c>
      <c r="Q21" s="49"/>
      <c r="R21" s="45"/>
      <c r="S21" s="50"/>
      <c r="T21" s="51">
        <f t="shared" si="0"/>
        <v>4000</v>
      </c>
      <c r="U21" s="51">
        <f t="shared" si="1"/>
        <v>0</v>
      </c>
      <c r="V21" s="51">
        <f t="shared" si="2"/>
        <v>4000</v>
      </c>
    </row>
    <row r="22" spans="1:22" s="52" customFormat="1" ht="39" x14ac:dyDescent="0.2">
      <c r="A22" s="37">
        <v>241085</v>
      </c>
      <c r="B22" s="38" t="s">
        <v>115</v>
      </c>
      <c r="C22" s="39" t="s">
        <v>164</v>
      </c>
      <c r="D22" s="40" t="s">
        <v>117</v>
      </c>
      <c r="E22" s="41" t="s">
        <v>165</v>
      </c>
      <c r="F22" s="42">
        <v>64000</v>
      </c>
      <c r="G22" s="43" t="s">
        <v>119</v>
      </c>
      <c r="H22" s="44"/>
      <c r="I22" s="45">
        <v>3200</v>
      </c>
      <c r="J22" s="45">
        <v>57600</v>
      </c>
      <c r="K22" s="45">
        <v>3200</v>
      </c>
      <c r="L22" s="46"/>
      <c r="M22" s="47"/>
      <c r="N22" s="48"/>
      <c r="O22" s="49" t="s">
        <v>166</v>
      </c>
      <c r="P22" s="48">
        <v>57600</v>
      </c>
      <c r="Q22" s="49"/>
      <c r="R22" s="45"/>
      <c r="S22" s="50"/>
      <c r="T22" s="51">
        <f t="shared" si="0"/>
        <v>3200</v>
      </c>
      <c r="U22" s="51">
        <f t="shared" si="1"/>
        <v>0</v>
      </c>
      <c r="V22" s="51">
        <f t="shared" si="2"/>
        <v>3200</v>
      </c>
    </row>
    <row r="23" spans="1:22" s="52" customFormat="1" ht="39" x14ac:dyDescent="0.2">
      <c r="A23" s="37">
        <v>241115</v>
      </c>
      <c r="B23" s="38" t="s">
        <v>115</v>
      </c>
      <c r="C23" s="39" t="s">
        <v>167</v>
      </c>
      <c r="D23" s="40" t="s">
        <v>117</v>
      </c>
      <c r="E23" s="41" t="s">
        <v>168</v>
      </c>
      <c r="F23" s="42">
        <v>20000</v>
      </c>
      <c r="G23" s="53" t="s">
        <v>110</v>
      </c>
      <c r="H23" s="44"/>
      <c r="I23" s="45">
        <v>1000</v>
      </c>
      <c r="J23" s="45">
        <v>18000</v>
      </c>
      <c r="K23" s="45">
        <v>1000</v>
      </c>
      <c r="L23" s="46"/>
      <c r="M23" s="47"/>
      <c r="N23" s="48"/>
      <c r="O23" s="49" t="s">
        <v>169</v>
      </c>
      <c r="P23" s="48">
        <v>18000</v>
      </c>
      <c r="Q23" s="49"/>
      <c r="R23" s="45"/>
      <c r="S23" s="50"/>
      <c r="T23" s="51">
        <f t="shared" si="0"/>
        <v>1000</v>
      </c>
      <c r="U23" s="51">
        <f t="shared" si="1"/>
        <v>0</v>
      </c>
      <c r="V23" s="51">
        <f t="shared" si="2"/>
        <v>1000</v>
      </c>
    </row>
    <row r="24" spans="1:22" s="52" customFormat="1" ht="39" x14ac:dyDescent="0.2">
      <c r="A24" s="37">
        <v>241115</v>
      </c>
      <c r="B24" s="38" t="s">
        <v>170</v>
      </c>
      <c r="C24" s="39" t="s">
        <v>171</v>
      </c>
      <c r="D24" s="40" t="s">
        <v>22</v>
      </c>
      <c r="E24" s="41" t="s">
        <v>172</v>
      </c>
      <c r="F24" s="42">
        <v>236075</v>
      </c>
      <c r="G24" s="53" t="s">
        <v>173</v>
      </c>
      <c r="H24" s="44"/>
      <c r="I24" s="45">
        <v>0</v>
      </c>
      <c r="J24" s="45">
        <v>236075</v>
      </c>
      <c r="K24" s="45">
        <v>0</v>
      </c>
      <c r="L24" s="46"/>
      <c r="M24" s="47"/>
      <c r="N24" s="48"/>
      <c r="O24" s="49" t="s">
        <v>174</v>
      </c>
      <c r="P24" s="48">
        <v>236075</v>
      </c>
      <c r="Q24" s="49"/>
      <c r="R24" s="45"/>
      <c r="S24" s="50"/>
      <c r="T24" s="51">
        <f t="shared" si="0"/>
        <v>0</v>
      </c>
      <c r="U24" s="51">
        <f t="shared" si="1"/>
        <v>0</v>
      </c>
      <c r="V24" s="51">
        <f t="shared" si="2"/>
        <v>0</v>
      </c>
    </row>
    <row r="25" spans="1:22" s="52" customFormat="1" ht="39" x14ac:dyDescent="0.2">
      <c r="A25" s="37">
        <v>241135</v>
      </c>
      <c r="B25" s="38" t="s">
        <v>115</v>
      </c>
      <c r="C25" s="39" t="s">
        <v>175</v>
      </c>
      <c r="D25" s="40" t="s">
        <v>117</v>
      </c>
      <c r="E25" s="41" t="s">
        <v>176</v>
      </c>
      <c r="F25" s="42">
        <v>20000</v>
      </c>
      <c r="G25" s="43" t="s">
        <v>119</v>
      </c>
      <c r="H25" s="44"/>
      <c r="I25" s="45">
        <v>1000</v>
      </c>
      <c r="J25" s="45">
        <v>18000</v>
      </c>
      <c r="K25" s="45">
        <v>1000</v>
      </c>
      <c r="L25" s="46"/>
      <c r="M25" s="47"/>
      <c r="N25" s="48"/>
      <c r="O25" s="49" t="s">
        <v>177</v>
      </c>
      <c r="P25" s="48">
        <v>18000</v>
      </c>
      <c r="Q25" s="49"/>
      <c r="R25" s="45"/>
      <c r="S25" s="50"/>
      <c r="T25" s="51">
        <f t="shared" si="0"/>
        <v>1000</v>
      </c>
      <c r="U25" s="51">
        <f t="shared" si="1"/>
        <v>0</v>
      </c>
      <c r="V25" s="51">
        <f t="shared" si="2"/>
        <v>1000</v>
      </c>
    </row>
    <row r="26" spans="1:22" s="52" customFormat="1" ht="39" x14ac:dyDescent="0.2">
      <c r="A26" s="37">
        <v>241148</v>
      </c>
      <c r="B26" s="38" t="s">
        <v>159</v>
      </c>
      <c r="C26" s="39" t="s">
        <v>178</v>
      </c>
      <c r="D26" s="40" t="s">
        <v>161</v>
      </c>
      <c r="E26" s="41" t="s">
        <v>179</v>
      </c>
      <c r="F26" s="42">
        <v>578550</v>
      </c>
      <c r="G26" s="43" t="s">
        <v>119</v>
      </c>
      <c r="H26" s="44"/>
      <c r="I26" s="45">
        <v>0</v>
      </c>
      <c r="J26" s="45">
        <v>578550</v>
      </c>
      <c r="K26" s="45">
        <v>0</v>
      </c>
      <c r="L26" s="46"/>
      <c r="M26" s="47"/>
      <c r="N26" s="48"/>
      <c r="O26" s="49" t="s">
        <v>180</v>
      </c>
      <c r="P26" s="48">
        <v>578550</v>
      </c>
      <c r="Q26" s="49"/>
      <c r="R26" s="45"/>
      <c r="S26" s="50"/>
      <c r="T26" s="51">
        <f t="shared" si="0"/>
        <v>0</v>
      </c>
      <c r="U26" s="51">
        <f t="shared" si="1"/>
        <v>0</v>
      </c>
      <c r="V26" s="51">
        <f t="shared" si="2"/>
        <v>0</v>
      </c>
    </row>
    <row r="27" spans="1:22" s="52" customFormat="1" ht="78" x14ac:dyDescent="0.2">
      <c r="A27" s="37">
        <v>241149</v>
      </c>
      <c r="B27" s="38" t="s">
        <v>181</v>
      </c>
      <c r="C27" s="39" t="s">
        <v>182</v>
      </c>
      <c r="D27" s="40" t="s">
        <v>183</v>
      </c>
      <c r="E27" s="41" t="s">
        <v>184</v>
      </c>
      <c r="F27" s="42">
        <v>76000</v>
      </c>
      <c r="G27" s="43" t="s">
        <v>119</v>
      </c>
      <c r="H27" s="44"/>
      <c r="I27" s="45">
        <v>38000</v>
      </c>
      <c r="J27" s="45">
        <v>0</v>
      </c>
      <c r="K27" s="45">
        <v>38000</v>
      </c>
      <c r="L27" s="46"/>
      <c r="M27" s="47"/>
      <c r="N27" s="48"/>
      <c r="O27" s="49"/>
      <c r="P27" s="48"/>
      <c r="Q27" s="49"/>
      <c r="R27" s="45"/>
      <c r="S27" s="50"/>
      <c r="T27" s="51">
        <f t="shared" si="0"/>
        <v>38000</v>
      </c>
      <c r="U27" s="51">
        <f t="shared" si="1"/>
        <v>0</v>
      </c>
      <c r="V27" s="51">
        <f t="shared" si="2"/>
        <v>38000</v>
      </c>
    </row>
    <row r="28" spans="1:22" s="52" customFormat="1" ht="58.5" x14ac:dyDescent="0.2">
      <c r="A28" s="37">
        <v>241159</v>
      </c>
      <c r="B28" s="38" t="s">
        <v>185</v>
      </c>
      <c r="C28" s="39" t="s">
        <v>186</v>
      </c>
      <c r="D28" s="40" t="s">
        <v>19</v>
      </c>
      <c r="E28" s="41" t="s">
        <v>187</v>
      </c>
      <c r="F28" s="42">
        <v>900000</v>
      </c>
      <c r="G28" s="53" t="s">
        <v>110</v>
      </c>
      <c r="H28" s="44"/>
      <c r="I28" s="45">
        <v>45000</v>
      </c>
      <c r="J28" s="45">
        <v>810000</v>
      </c>
      <c r="K28" s="45">
        <v>45000</v>
      </c>
      <c r="L28" s="46"/>
      <c r="M28" s="47"/>
      <c r="N28" s="48"/>
      <c r="O28" s="49" t="s">
        <v>188</v>
      </c>
      <c r="P28" s="48">
        <v>810000</v>
      </c>
      <c r="Q28" s="49"/>
      <c r="R28" s="45"/>
      <c r="S28" s="50"/>
      <c r="T28" s="51">
        <f t="shared" si="0"/>
        <v>45000</v>
      </c>
      <c r="U28" s="51">
        <f t="shared" si="1"/>
        <v>0</v>
      </c>
      <c r="V28" s="51">
        <f t="shared" si="2"/>
        <v>45000</v>
      </c>
    </row>
    <row r="29" spans="1:22" s="52" customFormat="1" ht="78" x14ac:dyDescent="0.2">
      <c r="A29" s="37">
        <v>241162</v>
      </c>
      <c r="B29" s="38" t="s">
        <v>185</v>
      </c>
      <c r="C29" s="39" t="s">
        <v>189</v>
      </c>
      <c r="D29" s="40" t="s">
        <v>19</v>
      </c>
      <c r="E29" s="41" t="s">
        <v>190</v>
      </c>
      <c r="F29" s="42">
        <v>342000</v>
      </c>
      <c r="G29" s="43" t="s">
        <v>119</v>
      </c>
      <c r="H29" s="44"/>
      <c r="I29" s="45">
        <v>17100</v>
      </c>
      <c r="J29" s="45">
        <v>307800</v>
      </c>
      <c r="K29" s="45">
        <v>17100</v>
      </c>
      <c r="L29" s="46"/>
      <c r="M29" s="47"/>
      <c r="N29" s="48"/>
      <c r="O29" s="49" t="s">
        <v>191</v>
      </c>
      <c r="P29" s="48">
        <v>307800</v>
      </c>
      <c r="Q29" s="49"/>
      <c r="R29" s="45"/>
      <c r="S29" s="50"/>
      <c r="T29" s="51">
        <f t="shared" si="0"/>
        <v>17100</v>
      </c>
      <c r="U29" s="51">
        <f t="shared" si="1"/>
        <v>0</v>
      </c>
      <c r="V29" s="51">
        <f t="shared" si="2"/>
        <v>17100</v>
      </c>
    </row>
    <row r="30" spans="1:22" s="52" customFormat="1" ht="97.5" x14ac:dyDescent="0.2">
      <c r="A30" s="37">
        <v>241163</v>
      </c>
      <c r="B30" s="38" t="s">
        <v>192</v>
      </c>
      <c r="C30" s="39" t="s">
        <v>193</v>
      </c>
      <c r="D30" s="40" t="s">
        <v>22</v>
      </c>
      <c r="E30" s="41" t="s">
        <v>194</v>
      </c>
      <c r="F30" s="42">
        <v>490000</v>
      </c>
      <c r="G30" s="53" t="s">
        <v>110</v>
      </c>
      <c r="H30" s="44"/>
      <c r="I30" s="45">
        <v>24500</v>
      </c>
      <c r="J30" s="45">
        <v>441000</v>
      </c>
      <c r="K30" s="45">
        <v>24500</v>
      </c>
      <c r="L30" s="46"/>
      <c r="M30" s="47"/>
      <c r="N30" s="48"/>
      <c r="O30" s="49" t="s">
        <v>195</v>
      </c>
      <c r="P30" s="48">
        <v>220500</v>
      </c>
      <c r="Q30" s="49"/>
      <c r="R30" s="45"/>
      <c r="S30" s="50"/>
      <c r="T30" s="51">
        <f t="shared" si="0"/>
        <v>24500</v>
      </c>
      <c r="U30" s="51">
        <f t="shared" si="1"/>
        <v>220500</v>
      </c>
      <c r="V30" s="51">
        <f t="shared" si="2"/>
        <v>24500</v>
      </c>
    </row>
    <row r="31" spans="1:22" s="52" customFormat="1" ht="39" x14ac:dyDescent="0.2">
      <c r="A31" s="37">
        <v>241178</v>
      </c>
      <c r="B31" s="38" t="s">
        <v>115</v>
      </c>
      <c r="C31" s="39" t="s">
        <v>196</v>
      </c>
      <c r="D31" s="40" t="s">
        <v>117</v>
      </c>
      <c r="E31" s="41" t="s">
        <v>197</v>
      </c>
      <c r="F31" s="42">
        <v>20000</v>
      </c>
      <c r="G31" s="43" t="s">
        <v>119</v>
      </c>
      <c r="H31" s="44"/>
      <c r="I31" s="45">
        <v>1000</v>
      </c>
      <c r="J31" s="45">
        <v>18000</v>
      </c>
      <c r="K31" s="45">
        <v>1000</v>
      </c>
      <c r="L31" s="46"/>
      <c r="M31" s="47"/>
      <c r="N31" s="48"/>
      <c r="O31" s="49" t="s">
        <v>198</v>
      </c>
      <c r="P31" s="48">
        <v>18000</v>
      </c>
      <c r="Q31" s="49"/>
      <c r="R31" s="45"/>
      <c r="S31" s="50"/>
      <c r="T31" s="51">
        <f t="shared" si="0"/>
        <v>1000</v>
      </c>
      <c r="U31" s="51">
        <f t="shared" si="1"/>
        <v>0</v>
      </c>
      <c r="V31" s="51">
        <f t="shared" si="2"/>
        <v>1000</v>
      </c>
    </row>
    <row r="32" spans="1:22" s="69" customFormat="1" ht="182.25" x14ac:dyDescent="0.2">
      <c r="A32" s="54">
        <v>241201</v>
      </c>
      <c r="B32" s="55" t="s">
        <v>199</v>
      </c>
      <c r="C32" s="56" t="s">
        <v>200</v>
      </c>
      <c r="D32" s="57" t="s">
        <v>19</v>
      </c>
      <c r="E32" s="58" t="s">
        <v>201</v>
      </c>
      <c r="F32" s="59">
        <v>10000</v>
      </c>
      <c r="G32" s="60" t="s">
        <v>202</v>
      </c>
      <c r="H32" s="61"/>
      <c r="I32" s="62">
        <v>5000</v>
      </c>
      <c r="J32" s="62">
        <v>0</v>
      </c>
      <c r="K32" s="62">
        <v>5000</v>
      </c>
      <c r="L32" s="63"/>
      <c r="M32" s="64"/>
      <c r="N32" s="65"/>
      <c r="O32" s="66"/>
      <c r="P32" s="65"/>
      <c r="Q32" s="66"/>
      <c r="R32" s="62"/>
      <c r="S32" s="67"/>
      <c r="T32" s="68">
        <f t="shared" si="0"/>
        <v>5000</v>
      </c>
      <c r="U32" s="68"/>
      <c r="V32" s="68">
        <f t="shared" si="2"/>
        <v>5000</v>
      </c>
    </row>
    <row r="33" spans="1:22" s="52" customFormat="1" ht="39" x14ac:dyDescent="0.2">
      <c r="A33" s="37">
        <v>241207</v>
      </c>
      <c r="B33" s="38" t="s">
        <v>121</v>
      </c>
      <c r="C33" s="39" t="s">
        <v>203</v>
      </c>
      <c r="D33" s="40" t="s">
        <v>108</v>
      </c>
      <c r="E33" s="41" t="s">
        <v>204</v>
      </c>
      <c r="F33" s="42">
        <v>580000</v>
      </c>
      <c r="G33" s="53" t="s">
        <v>110</v>
      </c>
      <c r="H33" s="44"/>
      <c r="I33" s="45">
        <v>29000</v>
      </c>
      <c r="J33" s="45">
        <v>522000</v>
      </c>
      <c r="K33" s="45">
        <v>29000</v>
      </c>
      <c r="L33" s="46"/>
      <c r="M33" s="47"/>
      <c r="N33" s="48"/>
      <c r="O33" s="49" t="s">
        <v>205</v>
      </c>
      <c r="P33" s="48">
        <v>522000</v>
      </c>
      <c r="Q33" s="49"/>
      <c r="R33" s="45"/>
      <c r="S33" s="50"/>
      <c r="T33" s="51">
        <f t="shared" si="0"/>
        <v>29000</v>
      </c>
      <c r="U33" s="51">
        <f t="shared" si="1"/>
        <v>0</v>
      </c>
      <c r="V33" s="51">
        <f t="shared" si="2"/>
        <v>29000</v>
      </c>
    </row>
    <row r="34" spans="1:22" s="52" customFormat="1" ht="39" x14ac:dyDescent="0.2">
      <c r="A34" s="37">
        <v>241222</v>
      </c>
      <c r="B34" s="38" t="s">
        <v>115</v>
      </c>
      <c r="C34" s="39" t="s">
        <v>206</v>
      </c>
      <c r="D34" s="40" t="s">
        <v>117</v>
      </c>
      <c r="E34" s="41" t="s">
        <v>207</v>
      </c>
      <c r="F34" s="42">
        <v>10000</v>
      </c>
      <c r="G34" s="43" t="s">
        <v>119</v>
      </c>
      <c r="H34" s="44"/>
      <c r="I34" s="45">
        <v>500</v>
      </c>
      <c r="J34" s="45">
        <v>9000</v>
      </c>
      <c r="K34" s="45">
        <v>500</v>
      </c>
      <c r="L34" s="46"/>
      <c r="M34" s="47"/>
      <c r="N34" s="48"/>
      <c r="O34" s="49" t="s">
        <v>208</v>
      </c>
      <c r="P34" s="48">
        <v>9000</v>
      </c>
      <c r="Q34" s="49"/>
      <c r="R34" s="45"/>
      <c r="S34" s="50"/>
      <c r="T34" s="51">
        <f t="shared" si="0"/>
        <v>500</v>
      </c>
      <c r="U34" s="51">
        <f t="shared" si="1"/>
        <v>0</v>
      </c>
      <c r="V34" s="51">
        <f t="shared" si="2"/>
        <v>500</v>
      </c>
    </row>
    <row r="35" spans="1:22" s="52" customFormat="1" ht="39" x14ac:dyDescent="0.2">
      <c r="A35" s="37">
        <v>241235</v>
      </c>
      <c r="B35" s="38" t="s">
        <v>209</v>
      </c>
      <c r="C35" s="39" t="s">
        <v>210</v>
      </c>
      <c r="D35" s="40" t="s">
        <v>22</v>
      </c>
      <c r="E35" s="41" t="s">
        <v>211</v>
      </c>
      <c r="F35" s="42">
        <v>62280</v>
      </c>
      <c r="G35" s="43" t="s">
        <v>212</v>
      </c>
      <c r="H35" s="44"/>
      <c r="I35" s="45">
        <v>0</v>
      </c>
      <c r="J35" s="45">
        <v>62280</v>
      </c>
      <c r="K35" s="45">
        <v>0</v>
      </c>
      <c r="L35" s="46"/>
      <c r="M35" s="47"/>
      <c r="N35" s="48"/>
      <c r="O35" s="49" t="s">
        <v>213</v>
      </c>
      <c r="P35" s="48">
        <v>62280</v>
      </c>
      <c r="Q35" s="49"/>
      <c r="R35" s="45"/>
      <c r="S35" s="50"/>
      <c r="T35" s="51">
        <f t="shared" si="0"/>
        <v>0</v>
      </c>
      <c r="U35" s="51">
        <f t="shared" si="1"/>
        <v>0</v>
      </c>
      <c r="V35" s="51">
        <f t="shared" si="2"/>
        <v>0</v>
      </c>
    </row>
    <row r="36" spans="1:22" s="52" customFormat="1" ht="39" x14ac:dyDescent="0.2">
      <c r="A36" s="37">
        <v>241241</v>
      </c>
      <c r="B36" s="38" t="s">
        <v>214</v>
      </c>
      <c r="C36" s="39" t="s">
        <v>215</v>
      </c>
      <c r="D36" s="40" t="s">
        <v>22</v>
      </c>
      <c r="E36" s="41" t="s">
        <v>216</v>
      </c>
      <c r="F36" s="42">
        <v>91000</v>
      </c>
      <c r="G36" s="43" t="s">
        <v>212</v>
      </c>
      <c r="H36" s="44"/>
      <c r="I36" s="45">
        <v>0</v>
      </c>
      <c r="J36" s="45">
        <v>91000</v>
      </c>
      <c r="K36" s="45">
        <v>0</v>
      </c>
      <c r="L36" s="46"/>
      <c r="M36" s="47"/>
      <c r="N36" s="48"/>
      <c r="O36" s="49" t="s">
        <v>217</v>
      </c>
      <c r="P36" s="48">
        <v>91000</v>
      </c>
      <c r="Q36" s="49"/>
      <c r="R36" s="45"/>
      <c r="S36" s="50"/>
      <c r="T36" s="51">
        <f t="shared" si="0"/>
        <v>0</v>
      </c>
      <c r="U36" s="51">
        <f t="shared" si="1"/>
        <v>0</v>
      </c>
      <c r="V36" s="51">
        <f t="shared" si="2"/>
        <v>0</v>
      </c>
    </row>
    <row r="37" spans="1:22" s="52" customFormat="1" ht="58.5" x14ac:dyDescent="0.2">
      <c r="A37" s="37">
        <v>241268</v>
      </c>
      <c r="B37" s="38" t="s">
        <v>111</v>
      </c>
      <c r="C37" s="39" t="s">
        <v>218</v>
      </c>
      <c r="D37" s="40" t="s">
        <v>19</v>
      </c>
      <c r="E37" s="41" t="s">
        <v>219</v>
      </c>
      <c r="F37" s="42">
        <v>1750000</v>
      </c>
      <c r="G37" s="53" t="s">
        <v>110</v>
      </c>
      <c r="H37" s="44"/>
      <c r="I37" s="45">
        <v>87500</v>
      </c>
      <c r="J37" s="45">
        <v>1575000</v>
      </c>
      <c r="K37" s="45">
        <v>87500</v>
      </c>
      <c r="L37" s="46"/>
      <c r="M37" s="47"/>
      <c r="N37" s="48"/>
      <c r="O37" s="49" t="s">
        <v>220</v>
      </c>
      <c r="P37" s="48">
        <v>1575000</v>
      </c>
      <c r="Q37" s="49"/>
      <c r="R37" s="45"/>
      <c r="S37" s="50"/>
      <c r="T37" s="51">
        <f t="shared" si="0"/>
        <v>87500</v>
      </c>
      <c r="U37" s="51">
        <f t="shared" si="1"/>
        <v>0</v>
      </c>
      <c r="V37" s="51">
        <f t="shared" si="2"/>
        <v>87500</v>
      </c>
    </row>
    <row r="38" spans="1:22" s="52" customFormat="1" ht="78" x14ac:dyDescent="0.2">
      <c r="A38" s="37">
        <v>241269</v>
      </c>
      <c r="B38" s="38" t="s">
        <v>221</v>
      </c>
      <c r="C38" s="39" t="s">
        <v>222</v>
      </c>
      <c r="D38" s="40" t="s">
        <v>19</v>
      </c>
      <c r="E38" s="41" t="s">
        <v>223</v>
      </c>
      <c r="F38" s="42">
        <v>57000</v>
      </c>
      <c r="G38" s="43" t="s">
        <v>119</v>
      </c>
      <c r="H38" s="44"/>
      <c r="I38" s="45">
        <v>2850</v>
      </c>
      <c r="J38" s="45">
        <v>51300</v>
      </c>
      <c r="K38" s="45">
        <v>2850</v>
      </c>
      <c r="L38" s="46"/>
      <c r="M38" s="47"/>
      <c r="N38" s="48"/>
      <c r="O38" s="49"/>
      <c r="P38" s="48"/>
      <c r="Q38" s="49"/>
      <c r="R38" s="45"/>
      <c r="S38" s="50"/>
      <c r="T38" s="51">
        <f t="shared" si="0"/>
        <v>2850</v>
      </c>
      <c r="U38" s="51">
        <f t="shared" si="1"/>
        <v>51300</v>
      </c>
      <c r="V38" s="51">
        <f t="shared" si="2"/>
        <v>2850</v>
      </c>
    </row>
    <row r="39" spans="1:22" s="109" customFormat="1" ht="78" x14ac:dyDescent="0.2">
      <c r="A39" s="95">
        <v>241277</v>
      </c>
      <c r="B39" s="95" t="s">
        <v>185</v>
      </c>
      <c r="C39" s="96" t="s">
        <v>224</v>
      </c>
      <c r="D39" s="97" t="s">
        <v>19</v>
      </c>
      <c r="E39" s="98" t="s">
        <v>225</v>
      </c>
      <c r="F39" s="99">
        <v>570000</v>
      </c>
      <c r="G39" s="100" t="s">
        <v>119</v>
      </c>
      <c r="H39" s="101"/>
      <c r="I39" s="102">
        <v>28500</v>
      </c>
      <c r="J39" s="102">
        <v>513000</v>
      </c>
      <c r="K39" s="102">
        <v>28500</v>
      </c>
      <c r="L39" s="103"/>
      <c r="M39" s="104"/>
      <c r="N39" s="105"/>
      <c r="O39" s="106" t="s">
        <v>226</v>
      </c>
      <c r="P39" s="105">
        <v>513000</v>
      </c>
      <c r="Q39" s="106"/>
      <c r="R39" s="102"/>
      <c r="S39" s="107"/>
      <c r="T39" s="108">
        <f>+I39-N39</f>
        <v>28500</v>
      </c>
      <c r="U39" s="108">
        <f>+J39-P39</f>
        <v>0</v>
      </c>
      <c r="V39" s="108">
        <f>+K39-R39</f>
        <v>28500</v>
      </c>
    </row>
    <row r="40" spans="1:22" s="109" customFormat="1" ht="39" x14ac:dyDescent="0.2">
      <c r="A40" s="95">
        <v>241296</v>
      </c>
      <c r="B40" s="95" t="s">
        <v>159</v>
      </c>
      <c r="C40" s="96" t="s">
        <v>227</v>
      </c>
      <c r="D40" s="97" t="s">
        <v>161</v>
      </c>
      <c r="E40" s="98" t="s">
        <v>228</v>
      </c>
      <c r="F40" s="99">
        <v>771400</v>
      </c>
      <c r="G40" s="100" t="s">
        <v>119</v>
      </c>
      <c r="H40" s="101"/>
      <c r="I40" s="102">
        <v>0</v>
      </c>
      <c r="J40" s="102">
        <v>771400</v>
      </c>
      <c r="K40" s="102">
        <v>0</v>
      </c>
      <c r="L40" s="103"/>
      <c r="M40" s="104"/>
      <c r="N40" s="105"/>
      <c r="O40" s="106" t="s">
        <v>229</v>
      </c>
      <c r="P40" s="105">
        <v>771400</v>
      </c>
      <c r="Q40" s="106"/>
      <c r="R40" s="102"/>
      <c r="S40" s="107"/>
      <c r="T40" s="108">
        <f>+I40-N40</f>
        <v>0</v>
      </c>
      <c r="U40" s="108">
        <f>+J40-P40</f>
        <v>0</v>
      </c>
      <c r="V40" s="108">
        <f>+K40-R40</f>
        <v>0</v>
      </c>
    </row>
    <row r="41" spans="1:22" s="109" customFormat="1" ht="78" x14ac:dyDescent="0.2">
      <c r="A41" s="95">
        <v>241331</v>
      </c>
      <c r="B41" s="95" t="s">
        <v>121</v>
      </c>
      <c r="C41" s="96" t="s">
        <v>230</v>
      </c>
      <c r="D41" s="97" t="s">
        <v>108</v>
      </c>
      <c r="E41" s="98" t="s">
        <v>231</v>
      </c>
      <c r="F41" s="99">
        <v>464000</v>
      </c>
      <c r="G41" s="100" t="s">
        <v>119</v>
      </c>
      <c r="H41" s="101"/>
      <c r="I41" s="102">
        <v>23200</v>
      </c>
      <c r="J41" s="102">
        <v>417600</v>
      </c>
      <c r="K41" s="102">
        <v>23200</v>
      </c>
      <c r="L41" s="103"/>
      <c r="M41" s="104"/>
      <c r="N41" s="105"/>
      <c r="O41" s="106" t="s">
        <v>232</v>
      </c>
      <c r="P41" s="105">
        <v>417600</v>
      </c>
      <c r="Q41" s="106"/>
      <c r="R41" s="102"/>
      <c r="S41" s="107"/>
      <c r="T41" s="108">
        <f>+I41-N41</f>
        <v>23200</v>
      </c>
      <c r="U41" s="108">
        <f>+J41-P41</f>
        <v>0</v>
      </c>
      <c r="V41" s="108">
        <f>+K41-R41</f>
        <v>23200</v>
      </c>
    </row>
    <row r="42" spans="1:22" s="109" customFormat="1" ht="39" x14ac:dyDescent="0.2">
      <c r="A42" s="95">
        <v>241331</v>
      </c>
      <c r="B42" s="95" t="s">
        <v>170</v>
      </c>
      <c r="C42" s="96" t="s">
        <v>233</v>
      </c>
      <c r="D42" s="97" t="s">
        <v>22</v>
      </c>
      <c r="E42" s="98" t="s">
        <v>234</v>
      </c>
      <c r="F42" s="99">
        <v>113430</v>
      </c>
      <c r="G42" s="110" t="s">
        <v>173</v>
      </c>
      <c r="H42" s="101"/>
      <c r="I42" s="102">
        <v>0</v>
      </c>
      <c r="J42" s="102">
        <v>113430</v>
      </c>
      <c r="K42" s="102">
        <v>0</v>
      </c>
      <c r="L42" s="103"/>
      <c r="M42" s="104"/>
      <c r="N42" s="105"/>
      <c r="O42" s="106" t="s">
        <v>235</v>
      </c>
      <c r="P42" s="105">
        <v>113430</v>
      </c>
      <c r="Q42" s="106"/>
      <c r="R42" s="102"/>
      <c r="S42" s="107"/>
      <c r="T42" s="108">
        <f>+I42-N42</f>
        <v>0</v>
      </c>
      <c r="U42" s="108">
        <f>+J42-P42</f>
        <v>0</v>
      </c>
      <c r="V42" s="108">
        <f>+K42-R42</f>
        <v>0</v>
      </c>
    </row>
    <row r="43" spans="1:22" s="109" customFormat="1" ht="97.5" x14ac:dyDescent="0.2">
      <c r="A43" s="95">
        <v>241331</v>
      </c>
      <c r="B43" s="95" t="s">
        <v>192</v>
      </c>
      <c r="C43" s="96" t="s">
        <v>193</v>
      </c>
      <c r="D43" s="97" t="s">
        <v>22</v>
      </c>
      <c r="E43" s="98" t="s">
        <v>236</v>
      </c>
      <c r="F43" s="99">
        <v>210000</v>
      </c>
      <c r="G43" s="110" t="s">
        <v>110</v>
      </c>
      <c r="H43" s="101"/>
      <c r="I43" s="102">
        <v>0</v>
      </c>
      <c r="J43" s="102">
        <v>0</v>
      </c>
      <c r="K43" s="102">
        <v>210000</v>
      </c>
      <c r="L43" s="103"/>
      <c r="M43" s="104"/>
      <c r="N43" s="105"/>
      <c r="O43" s="106"/>
      <c r="P43" s="105"/>
      <c r="Q43" s="106"/>
      <c r="R43" s="102"/>
      <c r="S43" s="107"/>
      <c r="T43" s="108">
        <f>+I43-N43</f>
        <v>0</v>
      </c>
      <c r="U43" s="108">
        <f>+J43-P43-P45</f>
        <v>0</v>
      </c>
      <c r="V43" s="108">
        <f>+K43-R43</f>
        <v>210000</v>
      </c>
    </row>
    <row r="44" spans="1:22" s="109" customFormat="1" ht="20.25" x14ac:dyDescent="0.2">
      <c r="A44" s="95"/>
      <c r="B44" s="95"/>
      <c r="C44" s="111" t="s">
        <v>237</v>
      </c>
      <c r="D44" s="97"/>
      <c r="E44" s="98"/>
      <c r="F44" s="99"/>
      <c r="G44" s="110"/>
      <c r="H44" s="101"/>
      <c r="I44" s="102"/>
      <c r="J44" s="102"/>
      <c r="K44" s="102"/>
      <c r="L44" s="103"/>
      <c r="M44" s="104"/>
      <c r="N44" s="105"/>
      <c r="O44" s="106"/>
      <c r="P44" s="105"/>
      <c r="Q44" s="106"/>
      <c r="R44" s="102"/>
      <c r="S44" s="107"/>
      <c r="T44" s="108"/>
      <c r="U44" s="108"/>
      <c r="V44" s="108"/>
    </row>
    <row r="45" spans="1:22" s="109" customFormat="1" ht="20.25" x14ac:dyDescent="0.2">
      <c r="A45" s="95"/>
      <c r="B45" s="95"/>
      <c r="C45" s="112" t="s">
        <v>238</v>
      </c>
      <c r="D45" s="97"/>
      <c r="E45" s="98"/>
      <c r="F45" s="99"/>
      <c r="G45" s="110"/>
      <c r="H45" s="101"/>
      <c r="I45" s="102"/>
      <c r="J45" s="102"/>
      <c r="K45" s="102"/>
      <c r="L45" s="103"/>
      <c r="M45" s="104"/>
      <c r="N45" s="105"/>
      <c r="O45" s="106"/>
      <c r="P45" s="105"/>
      <c r="Q45" s="106"/>
      <c r="R45" s="102"/>
      <c r="S45" s="107"/>
      <c r="T45" s="108"/>
      <c r="U45" s="108"/>
      <c r="V45" s="108"/>
    </row>
    <row r="46" spans="1:22" s="109" customFormat="1" ht="20.25" x14ac:dyDescent="0.2">
      <c r="A46" s="95"/>
      <c r="B46" s="95"/>
      <c r="C46" s="112" t="s">
        <v>239</v>
      </c>
      <c r="D46" s="97"/>
      <c r="E46" s="98"/>
      <c r="F46" s="99"/>
      <c r="G46" s="110"/>
      <c r="H46" s="101"/>
      <c r="I46" s="102"/>
      <c r="J46" s="102"/>
      <c r="K46" s="102"/>
      <c r="L46" s="103"/>
      <c r="M46" s="104"/>
      <c r="N46" s="105"/>
      <c r="O46" s="106"/>
      <c r="P46" s="105"/>
      <c r="Q46" s="106"/>
      <c r="R46" s="102"/>
      <c r="S46" s="107"/>
      <c r="T46" s="108"/>
      <c r="U46" s="108"/>
      <c r="V46" s="108"/>
    </row>
    <row r="47" spans="1:22" s="109" customFormat="1" ht="78" x14ac:dyDescent="0.2">
      <c r="A47" s="95">
        <v>241332</v>
      </c>
      <c r="B47" s="95" t="s">
        <v>221</v>
      </c>
      <c r="C47" s="96" t="s">
        <v>240</v>
      </c>
      <c r="D47" s="97" t="s">
        <v>19</v>
      </c>
      <c r="E47" s="98" t="s">
        <v>241</v>
      </c>
      <c r="F47" s="99">
        <v>76000</v>
      </c>
      <c r="G47" s="100" t="s">
        <v>119</v>
      </c>
      <c r="H47" s="101"/>
      <c r="I47" s="102">
        <v>4300</v>
      </c>
      <c r="J47" s="102">
        <v>77400</v>
      </c>
      <c r="K47" s="102">
        <v>4300</v>
      </c>
      <c r="L47" s="103"/>
      <c r="M47" s="104"/>
      <c r="N47" s="105"/>
      <c r="O47" s="106" t="s">
        <v>242</v>
      </c>
      <c r="P47" s="105">
        <v>77400</v>
      </c>
      <c r="Q47" s="106"/>
      <c r="R47" s="102"/>
      <c r="S47" s="107"/>
      <c r="T47" s="108">
        <f>+I47-N47</f>
        <v>4300</v>
      </c>
      <c r="U47" s="108">
        <f>+J47-P47</f>
        <v>0</v>
      </c>
      <c r="V47" s="108">
        <f>+K47-R47</f>
        <v>4300</v>
      </c>
    </row>
    <row r="48" spans="1:22" s="109" customFormat="1" ht="78" x14ac:dyDescent="0.2">
      <c r="A48" s="95"/>
      <c r="B48" s="95"/>
      <c r="C48" s="96" t="s">
        <v>243</v>
      </c>
      <c r="D48" s="97" t="s">
        <v>19</v>
      </c>
      <c r="E48" s="98" t="s">
        <v>241</v>
      </c>
      <c r="F48" s="99">
        <f>4000+3000+3000</f>
        <v>10000</v>
      </c>
      <c r="G48" s="100" t="s">
        <v>119</v>
      </c>
      <c r="H48" s="101"/>
      <c r="I48" s="102"/>
      <c r="J48" s="102"/>
      <c r="K48" s="102"/>
      <c r="L48" s="103"/>
      <c r="M48" s="104"/>
      <c r="N48" s="105"/>
      <c r="O48" s="106"/>
      <c r="P48" s="105"/>
      <c r="Q48" s="106"/>
      <c r="R48" s="102"/>
      <c r="S48" s="107"/>
      <c r="T48" s="108"/>
      <c r="U48" s="108"/>
      <c r="V48" s="108"/>
    </row>
    <row r="49" spans="1:22" s="109" customFormat="1" ht="58.5" x14ac:dyDescent="0.2">
      <c r="A49" s="95">
        <v>241333</v>
      </c>
      <c r="B49" s="95" t="s">
        <v>111</v>
      </c>
      <c r="C49" s="96" t="s">
        <v>244</v>
      </c>
      <c r="D49" s="97" t="s">
        <v>19</v>
      </c>
      <c r="E49" s="98" t="s">
        <v>245</v>
      </c>
      <c r="F49" s="99">
        <v>1750000</v>
      </c>
      <c r="G49" s="110" t="s">
        <v>110</v>
      </c>
      <c r="H49" s="101"/>
      <c r="I49" s="102">
        <v>87500</v>
      </c>
      <c r="J49" s="102">
        <v>1575000</v>
      </c>
      <c r="K49" s="102">
        <v>87500</v>
      </c>
      <c r="L49" s="103"/>
      <c r="M49" s="104"/>
      <c r="N49" s="105"/>
      <c r="O49" s="106" t="s">
        <v>246</v>
      </c>
      <c r="P49" s="105">
        <v>1575000</v>
      </c>
      <c r="Q49" s="106"/>
      <c r="R49" s="102"/>
      <c r="S49" s="107"/>
      <c r="T49" s="108">
        <f t="shared" ref="T49:T50" si="3">+I49-N49</f>
        <v>87500</v>
      </c>
      <c r="U49" s="108">
        <f t="shared" ref="U49:U50" si="4">+J49-P49</f>
        <v>0</v>
      </c>
      <c r="V49" s="108">
        <f t="shared" ref="V49:V50" si="5">+K49-R49</f>
        <v>87500</v>
      </c>
    </row>
    <row r="50" spans="1:22" s="109" customFormat="1" ht="39" x14ac:dyDescent="0.2">
      <c r="A50" s="95">
        <v>241333</v>
      </c>
      <c r="B50" s="95" t="s">
        <v>115</v>
      </c>
      <c r="C50" s="96" t="s">
        <v>247</v>
      </c>
      <c r="D50" s="97" t="s">
        <v>117</v>
      </c>
      <c r="E50" s="98" t="s">
        <v>248</v>
      </c>
      <c r="F50" s="99">
        <v>130000</v>
      </c>
      <c r="G50" s="100" t="s">
        <v>119</v>
      </c>
      <c r="H50" s="101"/>
      <c r="I50" s="102">
        <v>6500</v>
      </c>
      <c r="J50" s="102">
        <v>117000</v>
      </c>
      <c r="K50" s="102">
        <v>6500</v>
      </c>
      <c r="L50" s="103"/>
      <c r="M50" s="104"/>
      <c r="N50" s="105"/>
      <c r="O50" s="106" t="s">
        <v>249</v>
      </c>
      <c r="P50" s="105">
        <v>117000</v>
      </c>
      <c r="Q50" s="106"/>
      <c r="R50" s="102"/>
      <c r="S50" s="107"/>
      <c r="T50" s="108">
        <f t="shared" si="3"/>
        <v>6500</v>
      </c>
      <c r="U50" s="108">
        <f t="shared" si="4"/>
        <v>0</v>
      </c>
      <c r="V50" s="108">
        <f t="shared" si="5"/>
        <v>6500</v>
      </c>
    </row>
    <row r="51" spans="1:22" x14ac:dyDescent="0.4">
      <c r="A51" s="70"/>
      <c r="B51" s="71"/>
      <c r="C51" s="71"/>
      <c r="D51" s="72"/>
      <c r="E51" s="73"/>
      <c r="F51" s="74"/>
      <c r="G51" s="75"/>
      <c r="H51" s="76"/>
      <c r="I51" s="33"/>
      <c r="J51" s="33"/>
      <c r="K51" s="33"/>
      <c r="L51" s="77"/>
      <c r="M51" s="78"/>
      <c r="N51" s="79"/>
      <c r="O51" s="32"/>
      <c r="P51" s="79"/>
      <c r="Q51" s="32"/>
      <c r="R51" s="33"/>
      <c r="S51" s="80"/>
      <c r="T51" s="81">
        <f t="shared" si="0"/>
        <v>0</v>
      </c>
      <c r="U51" s="81">
        <f t="shared" si="1"/>
        <v>0</v>
      </c>
      <c r="V51" s="81">
        <f t="shared" si="2"/>
        <v>0</v>
      </c>
    </row>
    <row r="52" spans="1:22" x14ac:dyDescent="0.4">
      <c r="A52" s="70"/>
      <c r="B52" s="71"/>
      <c r="C52" s="71"/>
      <c r="D52" s="72"/>
      <c r="E52" s="73"/>
      <c r="F52" s="74"/>
      <c r="G52" s="75"/>
      <c r="H52" s="76"/>
      <c r="I52" s="33"/>
      <c r="J52" s="33"/>
      <c r="K52" s="33"/>
      <c r="L52" s="77"/>
      <c r="M52" s="78"/>
      <c r="N52" s="79"/>
      <c r="O52" s="32"/>
      <c r="P52" s="79"/>
      <c r="Q52" s="32"/>
      <c r="R52" s="33"/>
      <c r="S52" s="80"/>
      <c r="T52" s="81"/>
      <c r="U52" s="81"/>
      <c r="V52" s="81"/>
    </row>
    <row r="53" spans="1:22" s="12" customFormat="1" ht="21" thickBot="1" x14ac:dyDescent="0.5">
      <c r="A53" s="82"/>
      <c r="B53" s="82"/>
      <c r="C53" s="82"/>
      <c r="D53" s="82"/>
      <c r="E53" s="82"/>
      <c r="F53" s="83">
        <f>SUM(F6:F52)</f>
        <v>15387151.51</v>
      </c>
      <c r="G53" s="84"/>
      <c r="H53" s="85"/>
      <c r="I53" s="83">
        <f>SUM(I6:I52)</f>
        <v>715341.51</v>
      </c>
      <c r="J53" s="83">
        <f>SUM(J6:J52)</f>
        <v>13770035</v>
      </c>
      <c r="K53" s="83">
        <f>SUM(K6:K52)</f>
        <v>901775</v>
      </c>
      <c r="L53" s="86"/>
      <c r="M53" s="87"/>
      <c r="N53" s="83">
        <f>SUM(N5:N52)</f>
        <v>0</v>
      </c>
      <c r="O53" s="87"/>
      <c r="P53" s="83">
        <f>SUM(P5:P52)</f>
        <v>13498235</v>
      </c>
      <c r="Q53" s="88"/>
      <c r="R53" s="83">
        <f>SUM(R5:R52)</f>
        <v>0</v>
      </c>
      <c r="S53" s="89"/>
      <c r="T53" s="83">
        <f>SUM(T5:T52)</f>
        <v>1022135.71</v>
      </c>
      <c r="U53" s="83">
        <f t="shared" ref="U53:V53" si="6">SUM(U5:U52)</f>
        <v>286800</v>
      </c>
      <c r="V53" s="83">
        <f t="shared" si="6"/>
        <v>901775</v>
      </c>
    </row>
    <row r="54" spans="1:22" ht="20.25" thickTop="1" x14ac:dyDescent="0.4">
      <c r="K54" s="92">
        <f>+F53-I53-J53-K53</f>
        <v>0</v>
      </c>
      <c r="L54" s="92"/>
    </row>
    <row r="55" spans="1:22" x14ac:dyDescent="0.4">
      <c r="A55" s="8"/>
      <c r="R55" s="93"/>
      <c r="S55" s="93"/>
      <c r="T55" s="93"/>
      <c r="U55" s="93"/>
      <c r="V55" s="93"/>
    </row>
    <row r="56" spans="1:22" ht="21" x14ac:dyDescent="0.45">
      <c r="A56" s="8"/>
      <c r="B56" s="4" t="s">
        <v>85</v>
      </c>
      <c r="C56" s="5" t="s">
        <v>86</v>
      </c>
      <c r="D56" s="8"/>
      <c r="E56" s="8"/>
      <c r="U56" s="91"/>
    </row>
    <row r="57" spans="1:22" ht="21" x14ac:dyDescent="0.45">
      <c r="A57" s="8"/>
      <c r="B57" s="4" t="s">
        <v>3</v>
      </c>
      <c r="C57" s="5" t="s">
        <v>87</v>
      </c>
      <c r="D57" s="8"/>
      <c r="E57" s="8"/>
      <c r="U57" s="94"/>
    </row>
    <row r="58" spans="1:22" ht="21" x14ac:dyDescent="0.45">
      <c r="A58" s="8"/>
      <c r="B58" s="4" t="s">
        <v>88</v>
      </c>
      <c r="C58" s="5" t="s">
        <v>89</v>
      </c>
      <c r="D58" s="8"/>
      <c r="E58" s="8"/>
      <c r="U58" s="94"/>
    </row>
    <row r="59" spans="1:22" ht="21" x14ac:dyDescent="0.45">
      <c r="A59" s="8"/>
      <c r="B59" s="4" t="s">
        <v>90</v>
      </c>
      <c r="C59" s="5" t="s">
        <v>91</v>
      </c>
      <c r="D59" s="8"/>
      <c r="E59" s="8"/>
    </row>
    <row r="60" spans="1:22" ht="21" x14ac:dyDescent="0.45">
      <c r="A60" s="8"/>
      <c r="B60" s="4" t="s">
        <v>92</v>
      </c>
      <c r="C60" s="297" t="s">
        <v>93</v>
      </c>
      <c r="D60" s="8"/>
      <c r="E60" s="8"/>
    </row>
  </sheetData>
  <mergeCells count="19">
    <mergeCell ref="A1:G1"/>
    <mergeCell ref="A2:A4"/>
    <mergeCell ref="B2:B4"/>
    <mergeCell ref="C2:C4"/>
    <mergeCell ref="D2:D4"/>
    <mergeCell ref="E2:E4"/>
    <mergeCell ref="F2:F4"/>
    <mergeCell ref="G2:G4"/>
    <mergeCell ref="V3:V4"/>
    <mergeCell ref="I2:K2"/>
    <mergeCell ref="M2:R2"/>
    <mergeCell ref="T2:V2"/>
    <mergeCell ref="I3:J3"/>
    <mergeCell ref="K3:K4"/>
    <mergeCell ref="M3:N3"/>
    <mergeCell ref="O3:P3"/>
    <mergeCell ref="Q3:R3"/>
    <mergeCell ref="T3:T4"/>
    <mergeCell ref="U3:U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5"/>
  <sheetViews>
    <sheetView topLeftCell="A46" workbookViewId="0">
      <selection activeCell="A3" sqref="A3:I3"/>
    </sheetView>
  </sheetViews>
  <sheetFormatPr defaultRowHeight="21" x14ac:dyDescent="0.45"/>
  <cols>
    <col min="1" max="1" width="8.375" style="2" customWidth="1"/>
    <col min="2" max="2" width="12.375" style="2" customWidth="1"/>
    <col min="3" max="3" width="12.625" style="2" customWidth="1"/>
    <col min="4" max="4" width="11.25" style="3" customWidth="1"/>
    <col min="5" max="5" width="56.375" style="3" customWidth="1"/>
    <col min="6" max="6" width="10.5" style="3" bestFit="1" customWidth="1"/>
    <col min="7" max="7" width="10.375" style="3" bestFit="1" customWidth="1"/>
    <col min="8" max="8" width="9.375" style="1" bestFit="1" customWidth="1"/>
    <col min="9" max="9" width="8.625" style="1" bestFit="1" customWidth="1"/>
    <col min="10" max="10" width="9.75" style="1" customWidth="1"/>
    <col min="11" max="11" width="17.25" style="1" customWidth="1"/>
    <col min="12" max="12" width="13.5" style="1" customWidth="1"/>
    <col min="13" max="13" width="10" style="1" customWidth="1"/>
    <col min="14" max="15" width="9.5" style="1" customWidth="1"/>
    <col min="16" max="16" width="11.25" style="1" customWidth="1"/>
    <col min="17" max="17" width="106.5" style="1" customWidth="1"/>
    <col min="18" max="16384" width="9" style="1"/>
  </cols>
  <sheetData>
    <row r="1" spans="1:16" x14ac:dyDescent="0.45">
      <c r="A1" s="632" t="s">
        <v>0</v>
      </c>
      <c r="B1" s="632"/>
      <c r="C1" s="632"/>
      <c r="D1" s="632"/>
      <c r="E1" s="632"/>
      <c r="F1" s="632"/>
      <c r="G1" s="632"/>
      <c r="H1" s="632"/>
      <c r="I1" s="632"/>
      <c r="J1" s="205"/>
      <c r="K1" s="205"/>
      <c r="L1" s="205"/>
      <c r="M1" s="205"/>
      <c r="N1" s="205"/>
      <c r="O1" s="205"/>
      <c r="P1" s="205"/>
    </row>
    <row r="2" spans="1:16" s="177" customFormat="1" x14ac:dyDescent="0.2">
      <c r="A2" s="635" t="s">
        <v>1</v>
      </c>
      <c r="B2" s="635" t="s">
        <v>2</v>
      </c>
      <c r="C2" s="635" t="s">
        <v>789</v>
      </c>
      <c r="D2" s="633" t="s">
        <v>3</v>
      </c>
      <c r="E2" s="633" t="s">
        <v>90</v>
      </c>
      <c r="F2" s="633" t="s">
        <v>4</v>
      </c>
      <c r="G2" s="634" t="s">
        <v>5</v>
      </c>
      <c r="H2" s="634"/>
      <c r="I2" s="634"/>
    </row>
    <row r="3" spans="1:16" s="177" customFormat="1" x14ac:dyDescent="0.2">
      <c r="A3" s="635"/>
      <c r="B3" s="635"/>
      <c r="C3" s="635"/>
      <c r="D3" s="633"/>
      <c r="E3" s="633"/>
      <c r="F3" s="633"/>
      <c r="G3" s="178" t="s">
        <v>8</v>
      </c>
      <c r="H3" s="178" t="s">
        <v>9</v>
      </c>
      <c r="I3" s="178" t="s">
        <v>3</v>
      </c>
    </row>
    <row r="4" spans="1:16" s="174" customFormat="1" x14ac:dyDescent="0.2">
      <c r="A4" s="179">
        <v>240606</v>
      </c>
      <c r="B4" s="180" t="s">
        <v>12</v>
      </c>
      <c r="C4" s="181" t="s">
        <v>846</v>
      </c>
      <c r="D4" s="186" t="s">
        <v>13</v>
      </c>
      <c r="E4" s="182" t="s">
        <v>14</v>
      </c>
      <c r="F4" s="186">
        <v>100000</v>
      </c>
      <c r="G4" s="186"/>
      <c r="H4" s="186">
        <v>50000</v>
      </c>
      <c r="I4" s="186">
        <v>50000</v>
      </c>
    </row>
    <row r="5" spans="1:16" s="174" customFormat="1" x14ac:dyDescent="0.2">
      <c r="A5" s="179">
        <v>240612</v>
      </c>
      <c r="B5" s="180" t="s">
        <v>15</v>
      </c>
      <c r="C5" s="181" t="s">
        <v>847</v>
      </c>
      <c r="D5" s="186" t="s">
        <v>16</v>
      </c>
      <c r="E5" s="182" t="s">
        <v>17</v>
      </c>
      <c r="F5" s="186">
        <f>466200+25900+25900</f>
        <v>518000</v>
      </c>
      <c r="G5" s="187">
        <f>+F5*90/100</f>
        <v>466200</v>
      </c>
      <c r="H5" s="187">
        <f t="shared" ref="H5:H11" si="0">+F5*0.05</f>
        <v>25900</v>
      </c>
      <c r="I5" s="187">
        <f t="shared" ref="I5:I11" si="1">+F5*0.05</f>
        <v>25900</v>
      </c>
    </row>
    <row r="6" spans="1:16" s="174" customFormat="1" x14ac:dyDescent="0.2">
      <c r="A6" s="179">
        <v>240618</v>
      </c>
      <c r="B6" s="180" t="s">
        <v>18</v>
      </c>
      <c r="C6" s="181" t="s">
        <v>848</v>
      </c>
      <c r="D6" s="186" t="s">
        <v>19</v>
      </c>
      <c r="E6" s="182" t="s">
        <v>20</v>
      </c>
      <c r="F6" s="186">
        <f>8756.25+26268.75</f>
        <v>35025</v>
      </c>
      <c r="G6" s="187">
        <v>0</v>
      </c>
      <c r="H6" s="187">
        <v>8756.25</v>
      </c>
      <c r="I6" s="187">
        <v>26268.75</v>
      </c>
    </row>
    <row r="7" spans="1:16" s="188" customFormat="1" x14ac:dyDescent="0.2">
      <c r="A7" s="179">
        <v>240624</v>
      </c>
      <c r="B7" s="180" t="s">
        <v>21</v>
      </c>
      <c r="C7" s="181" t="s">
        <v>849</v>
      </c>
      <c r="D7" s="186" t="s">
        <v>22</v>
      </c>
      <c r="E7" s="182" t="s">
        <v>23</v>
      </c>
      <c r="F7" s="186">
        <f>58212+3234+3234</f>
        <v>64680</v>
      </c>
      <c r="G7" s="187">
        <f>+F7*90/100</f>
        <v>58212</v>
      </c>
      <c r="H7" s="187">
        <f t="shared" si="0"/>
        <v>3234</v>
      </c>
      <c r="I7" s="187">
        <f t="shared" si="1"/>
        <v>3234</v>
      </c>
    </row>
    <row r="8" spans="1:16" s="188" customFormat="1" x14ac:dyDescent="0.2">
      <c r="A8" s="179">
        <v>240648</v>
      </c>
      <c r="B8" s="180" t="s">
        <v>24</v>
      </c>
      <c r="C8" s="181" t="s">
        <v>850</v>
      </c>
      <c r="D8" s="186" t="s">
        <v>16</v>
      </c>
      <c r="E8" s="182" t="s">
        <v>17</v>
      </c>
      <c r="F8" s="186">
        <f>942300+52350+52350</f>
        <v>1047000</v>
      </c>
      <c r="G8" s="187">
        <f>+F8*90/100</f>
        <v>942300</v>
      </c>
      <c r="H8" s="187">
        <f t="shared" si="0"/>
        <v>52350</v>
      </c>
      <c r="I8" s="187">
        <f t="shared" si="1"/>
        <v>52350</v>
      </c>
    </row>
    <row r="9" spans="1:16" s="188" customFormat="1" x14ac:dyDescent="0.2">
      <c r="A9" s="179">
        <v>240654</v>
      </c>
      <c r="B9" s="180" t="s">
        <v>25</v>
      </c>
      <c r="C9" s="181" t="s">
        <v>851</v>
      </c>
      <c r="D9" s="186" t="s">
        <v>16</v>
      </c>
      <c r="E9" s="182" t="s">
        <v>17</v>
      </c>
      <c r="F9" s="186">
        <f>539550+29975+29975</f>
        <v>599500</v>
      </c>
      <c r="G9" s="187">
        <f>+F9*90/100</f>
        <v>539550</v>
      </c>
      <c r="H9" s="187">
        <f t="shared" si="0"/>
        <v>29975</v>
      </c>
      <c r="I9" s="187">
        <f t="shared" si="1"/>
        <v>29975</v>
      </c>
    </row>
    <row r="10" spans="1:16" s="188" customFormat="1" x14ac:dyDescent="0.2">
      <c r="A10" s="179">
        <v>240665</v>
      </c>
      <c r="B10" s="180" t="s">
        <v>26</v>
      </c>
      <c r="C10" s="181" t="s">
        <v>852</v>
      </c>
      <c r="D10" s="186" t="s">
        <v>16</v>
      </c>
      <c r="E10" s="182" t="s">
        <v>17</v>
      </c>
      <c r="F10" s="186">
        <f>453600+25200+25200</f>
        <v>504000</v>
      </c>
      <c r="G10" s="187">
        <f>+F10*90/100</f>
        <v>453600</v>
      </c>
      <c r="H10" s="187">
        <f t="shared" si="0"/>
        <v>25200</v>
      </c>
      <c r="I10" s="187">
        <f t="shared" si="1"/>
        <v>25200</v>
      </c>
    </row>
    <row r="11" spans="1:16" s="188" customFormat="1" x14ac:dyDescent="0.2">
      <c r="A11" s="179">
        <v>240687</v>
      </c>
      <c r="B11" s="180" t="s">
        <v>27</v>
      </c>
      <c r="C11" s="181" t="s">
        <v>853</v>
      </c>
      <c r="D11" s="186" t="s">
        <v>16</v>
      </c>
      <c r="E11" s="182" t="s">
        <v>17</v>
      </c>
      <c r="F11" s="186">
        <f>190350+10575+10575</f>
        <v>211500</v>
      </c>
      <c r="G11" s="187">
        <f>+F11*90/100</f>
        <v>190350</v>
      </c>
      <c r="H11" s="187">
        <f t="shared" si="0"/>
        <v>10575</v>
      </c>
      <c r="I11" s="187">
        <f t="shared" si="1"/>
        <v>10575</v>
      </c>
    </row>
    <row r="12" spans="1:16" s="188" customFormat="1" x14ac:dyDescent="0.2">
      <c r="A12" s="179">
        <v>240690</v>
      </c>
      <c r="B12" s="180" t="s">
        <v>28</v>
      </c>
      <c r="C12" s="181" t="s">
        <v>854</v>
      </c>
      <c r="D12" s="186" t="s">
        <v>22</v>
      </c>
      <c r="E12" s="182" t="s">
        <v>29</v>
      </c>
      <c r="F12" s="186">
        <f>139720+15000+15000</f>
        <v>169720</v>
      </c>
      <c r="G12" s="187">
        <v>139720</v>
      </c>
      <c r="H12" s="187">
        <v>15000</v>
      </c>
      <c r="I12" s="187">
        <v>15000</v>
      </c>
    </row>
    <row r="13" spans="1:16" s="188" customFormat="1" ht="42" x14ac:dyDescent="0.2">
      <c r="A13" s="179">
        <v>240694</v>
      </c>
      <c r="B13" s="180" t="s">
        <v>30</v>
      </c>
      <c r="C13" s="181" t="s">
        <v>855</v>
      </c>
      <c r="D13" s="186" t="s">
        <v>22</v>
      </c>
      <c r="E13" s="182" t="s">
        <v>31</v>
      </c>
      <c r="F13" s="186">
        <v>62200</v>
      </c>
      <c r="G13" s="187">
        <f>+F13</f>
        <v>62200</v>
      </c>
      <c r="H13" s="187">
        <v>0</v>
      </c>
      <c r="I13" s="187">
        <v>0</v>
      </c>
    </row>
    <row r="14" spans="1:16" s="188" customFormat="1" x14ac:dyDescent="0.2">
      <c r="A14" s="179">
        <v>240695</v>
      </c>
      <c r="B14" s="180" t="s">
        <v>32</v>
      </c>
      <c r="C14" s="181" t="s">
        <v>856</v>
      </c>
      <c r="D14" s="186" t="s">
        <v>33</v>
      </c>
      <c r="E14" s="182" t="s">
        <v>34</v>
      </c>
      <c r="F14" s="186">
        <f>494700+26250+26250</f>
        <v>547200</v>
      </c>
      <c r="G14" s="187">
        <v>494700</v>
      </c>
      <c r="H14" s="187">
        <v>26250</v>
      </c>
      <c r="I14" s="187">
        <v>26250</v>
      </c>
    </row>
    <row r="15" spans="1:16" s="188" customFormat="1" x14ac:dyDescent="0.2">
      <c r="A15" s="179">
        <v>240722</v>
      </c>
      <c r="B15" s="180" t="s">
        <v>35</v>
      </c>
      <c r="C15" s="181" t="s">
        <v>857</v>
      </c>
      <c r="D15" s="186" t="s">
        <v>36</v>
      </c>
      <c r="E15" s="182" t="s">
        <v>34</v>
      </c>
      <c r="F15" s="186">
        <v>0</v>
      </c>
      <c r="G15" s="187">
        <f>492480-G14</f>
        <v>-2220</v>
      </c>
      <c r="H15" s="187">
        <f>27360-H14</f>
        <v>1110</v>
      </c>
      <c r="I15" s="187">
        <f>27360-I14</f>
        <v>1110</v>
      </c>
    </row>
    <row r="16" spans="1:16" s="188" customFormat="1" ht="42" x14ac:dyDescent="0.2">
      <c r="A16" s="179">
        <v>240701</v>
      </c>
      <c r="B16" s="180" t="s">
        <v>37</v>
      </c>
      <c r="C16" s="181" t="s">
        <v>858</v>
      </c>
      <c r="D16" s="186" t="s">
        <v>19</v>
      </c>
      <c r="E16" s="182" t="s">
        <v>38</v>
      </c>
      <c r="F16" s="186">
        <v>15792.5</v>
      </c>
      <c r="G16" s="187">
        <v>0</v>
      </c>
      <c r="H16" s="187">
        <f>+F16</f>
        <v>15792.5</v>
      </c>
      <c r="I16" s="187">
        <v>0</v>
      </c>
    </row>
    <row r="17" spans="1:9" s="188" customFormat="1" x14ac:dyDescent="0.2">
      <c r="A17" s="179">
        <v>240707</v>
      </c>
      <c r="B17" s="180" t="s">
        <v>39</v>
      </c>
      <c r="C17" s="181" t="s">
        <v>859</v>
      </c>
      <c r="D17" s="186" t="s">
        <v>16</v>
      </c>
      <c r="E17" s="182" t="s">
        <v>17</v>
      </c>
      <c r="F17" s="186">
        <f>211500+11750+11750</f>
        <v>235000</v>
      </c>
      <c r="G17" s="187">
        <f t="shared" ref="G17:G25" si="2">+F17*90/100</f>
        <v>211500</v>
      </c>
      <c r="H17" s="187">
        <f t="shared" ref="H17:H25" si="3">+F17*0.05</f>
        <v>11750</v>
      </c>
      <c r="I17" s="187">
        <f t="shared" ref="I17:I25" si="4">+F17*0.05</f>
        <v>11750</v>
      </c>
    </row>
    <row r="18" spans="1:9" s="188" customFormat="1" ht="42" x14ac:dyDescent="0.2">
      <c r="A18" s="179">
        <v>240717</v>
      </c>
      <c r="B18" s="180" t="s">
        <v>40</v>
      </c>
      <c r="C18" s="181" t="s">
        <v>860</v>
      </c>
      <c r="D18" s="180" t="s">
        <v>19</v>
      </c>
      <c r="E18" s="182" t="s">
        <v>41</v>
      </c>
      <c r="F18" s="187">
        <v>45000</v>
      </c>
      <c r="G18" s="187">
        <f t="shared" si="2"/>
        <v>40500</v>
      </c>
      <c r="H18" s="187">
        <f t="shared" si="3"/>
        <v>2250</v>
      </c>
      <c r="I18" s="187">
        <f t="shared" si="4"/>
        <v>2250</v>
      </c>
    </row>
    <row r="19" spans="1:9" s="188" customFormat="1" x14ac:dyDescent="0.2">
      <c r="A19" s="179">
        <v>240721</v>
      </c>
      <c r="B19" s="180" t="s">
        <v>42</v>
      </c>
      <c r="C19" s="181" t="s">
        <v>861</v>
      </c>
      <c r="D19" s="186" t="s">
        <v>16</v>
      </c>
      <c r="E19" s="182" t="s">
        <v>17</v>
      </c>
      <c r="F19" s="187">
        <v>185000</v>
      </c>
      <c r="G19" s="187">
        <f t="shared" si="2"/>
        <v>166500</v>
      </c>
      <c r="H19" s="187">
        <f t="shared" si="3"/>
        <v>9250</v>
      </c>
      <c r="I19" s="187">
        <f t="shared" si="4"/>
        <v>9250</v>
      </c>
    </row>
    <row r="20" spans="1:9" s="188" customFormat="1" ht="84" x14ac:dyDescent="0.2">
      <c r="A20" s="179">
        <v>240744</v>
      </c>
      <c r="B20" s="180" t="s">
        <v>43</v>
      </c>
      <c r="C20" s="181" t="s">
        <v>862</v>
      </c>
      <c r="D20" s="180" t="s">
        <v>19</v>
      </c>
      <c r="E20" s="189" t="s">
        <v>44</v>
      </c>
      <c r="F20" s="187">
        <v>163875</v>
      </c>
      <c r="G20" s="187">
        <f t="shared" si="2"/>
        <v>147487.5</v>
      </c>
      <c r="H20" s="187">
        <f t="shared" si="3"/>
        <v>8193.75</v>
      </c>
      <c r="I20" s="187">
        <f t="shared" si="4"/>
        <v>8193.75</v>
      </c>
    </row>
    <row r="21" spans="1:9" s="188" customFormat="1" ht="84" x14ac:dyDescent="0.2">
      <c r="A21" s="179">
        <v>240764</v>
      </c>
      <c r="B21" s="180" t="s">
        <v>45</v>
      </c>
      <c r="C21" s="181" t="s">
        <v>863</v>
      </c>
      <c r="D21" s="186" t="s">
        <v>22</v>
      </c>
      <c r="E21" s="182" t="s">
        <v>46</v>
      </c>
      <c r="F21" s="187">
        <v>27720</v>
      </c>
      <c r="G21" s="187">
        <f t="shared" si="2"/>
        <v>24948</v>
      </c>
      <c r="H21" s="187">
        <f t="shared" si="3"/>
        <v>1386</v>
      </c>
      <c r="I21" s="187">
        <f t="shared" si="4"/>
        <v>1386</v>
      </c>
    </row>
    <row r="22" spans="1:9" s="188" customFormat="1" x14ac:dyDescent="0.2">
      <c r="A22" s="179">
        <v>240779</v>
      </c>
      <c r="B22" s="180" t="s">
        <v>47</v>
      </c>
      <c r="C22" s="181" t="s">
        <v>864</v>
      </c>
      <c r="D22" s="186" t="s">
        <v>16</v>
      </c>
      <c r="E22" s="182" t="s">
        <v>17</v>
      </c>
      <c r="F22" s="187">
        <v>1500</v>
      </c>
      <c r="G22" s="187">
        <f t="shared" si="2"/>
        <v>1350</v>
      </c>
      <c r="H22" s="187">
        <f t="shared" si="3"/>
        <v>75</v>
      </c>
      <c r="I22" s="187">
        <f t="shared" si="4"/>
        <v>75</v>
      </c>
    </row>
    <row r="23" spans="1:9" s="188" customFormat="1" ht="42" x14ac:dyDescent="0.2">
      <c r="A23" s="179">
        <v>240783</v>
      </c>
      <c r="B23" s="180" t="s">
        <v>48</v>
      </c>
      <c r="C23" s="181" t="s">
        <v>865</v>
      </c>
      <c r="D23" s="180" t="s">
        <v>19</v>
      </c>
      <c r="E23" s="182" t="s">
        <v>49</v>
      </c>
      <c r="F23" s="187">
        <v>1750000</v>
      </c>
      <c r="G23" s="187">
        <f t="shared" si="2"/>
        <v>1575000</v>
      </c>
      <c r="H23" s="187">
        <f t="shared" si="3"/>
        <v>87500</v>
      </c>
      <c r="I23" s="187">
        <f t="shared" si="4"/>
        <v>87500</v>
      </c>
    </row>
    <row r="24" spans="1:9" s="188" customFormat="1" ht="84" x14ac:dyDescent="0.2">
      <c r="A24" s="179">
        <v>240790</v>
      </c>
      <c r="B24" s="180" t="s">
        <v>50</v>
      </c>
      <c r="C24" s="181" t="s">
        <v>866</v>
      </c>
      <c r="D24" s="180" t="s">
        <v>51</v>
      </c>
      <c r="E24" s="189" t="s">
        <v>52</v>
      </c>
      <c r="F24" s="187">
        <v>90000</v>
      </c>
      <c r="G24" s="187">
        <f t="shared" si="2"/>
        <v>81000</v>
      </c>
      <c r="H24" s="187">
        <f t="shared" si="3"/>
        <v>4500</v>
      </c>
      <c r="I24" s="187">
        <f t="shared" si="4"/>
        <v>4500</v>
      </c>
    </row>
    <row r="25" spans="1:9" s="188" customFormat="1" ht="84" x14ac:dyDescent="0.2">
      <c r="A25" s="179">
        <v>240790</v>
      </c>
      <c r="B25" s="180" t="s">
        <v>53</v>
      </c>
      <c r="C25" s="181" t="s">
        <v>867</v>
      </c>
      <c r="D25" s="180" t="s">
        <v>51</v>
      </c>
      <c r="E25" s="189" t="s">
        <v>54</v>
      </c>
      <c r="F25" s="187">
        <v>240000</v>
      </c>
      <c r="G25" s="187">
        <f t="shared" si="2"/>
        <v>216000</v>
      </c>
      <c r="H25" s="187">
        <f t="shared" si="3"/>
        <v>12000</v>
      </c>
      <c r="I25" s="187">
        <f t="shared" si="4"/>
        <v>12000</v>
      </c>
    </row>
    <row r="26" spans="1:9" s="188" customFormat="1" ht="84" x14ac:dyDescent="0.2">
      <c r="A26" s="179">
        <v>240820</v>
      </c>
      <c r="B26" s="180" t="s">
        <v>55</v>
      </c>
      <c r="C26" s="181" t="s">
        <v>868</v>
      </c>
      <c r="D26" s="186" t="s">
        <v>22</v>
      </c>
      <c r="E26" s="189" t="s">
        <v>56</v>
      </c>
      <c r="F26" s="187">
        <v>141000</v>
      </c>
      <c r="G26" s="187">
        <v>111000</v>
      </c>
      <c r="H26" s="187">
        <v>15000</v>
      </c>
      <c r="I26" s="187">
        <v>15000</v>
      </c>
    </row>
    <row r="27" spans="1:9" s="188" customFormat="1" ht="84" x14ac:dyDescent="0.2">
      <c r="A27" s="179">
        <v>240828</v>
      </c>
      <c r="B27" s="180" t="s">
        <v>57</v>
      </c>
      <c r="C27" s="181" t="s">
        <v>869</v>
      </c>
      <c r="D27" s="186" t="s">
        <v>22</v>
      </c>
      <c r="E27" s="189" t="s">
        <v>58</v>
      </c>
      <c r="F27" s="187">
        <v>141680</v>
      </c>
      <c r="G27" s="187">
        <f>+F27*90/100</f>
        <v>127512</v>
      </c>
      <c r="H27" s="187">
        <f>+F27*0.05</f>
        <v>7084</v>
      </c>
      <c r="I27" s="187">
        <f>+F27*0.05</f>
        <v>7084</v>
      </c>
    </row>
    <row r="28" spans="1:9" s="188" customFormat="1" ht="84" x14ac:dyDescent="0.2">
      <c r="A28" s="179">
        <v>240834</v>
      </c>
      <c r="B28" s="180" t="s">
        <v>59</v>
      </c>
      <c r="C28" s="181" t="s">
        <v>870</v>
      </c>
      <c r="D28" s="186" t="s">
        <v>33</v>
      </c>
      <c r="E28" s="189" t="s">
        <v>60</v>
      </c>
      <c r="F28" s="187">
        <v>1276800</v>
      </c>
      <c r="G28" s="187">
        <v>1226520</v>
      </c>
      <c r="H28" s="187">
        <v>25140</v>
      </c>
      <c r="I28" s="187">
        <v>25140</v>
      </c>
    </row>
    <row r="29" spans="1:9" s="188" customFormat="1" ht="63" x14ac:dyDescent="0.2">
      <c r="A29" s="179">
        <v>240850</v>
      </c>
      <c r="B29" s="180" t="s">
        <v>61</v>
      </c>
      <c r="C29" s="181" t="s">
        <v>871</v>
      </c>
      <c r="D29" s="186" t="s">
        <v>22</v>
      </c>
      <c r="E29" s="189" t="s">
        <v>62</v>
      </c>
      <c r="F29" s="187">
        <v>80000</v>
      </c>
      <c r="G29" s="187">
        <f>+F29*100/100</f>
        <v>80000</v>
      </c>
      <c r="H29" s="187">
        <v>0</v>
      </c>
      <c r="I29" s="187">
        <v>0</v>
      </c>
    </row>
    <row r="30" spans="1:9" s="188" customFormat="1" ht="63" x14ac:dyDescent="0.2">
      <c r="A30" s="179">
        <v>240850</v>
      </c>
      <c r="B30" s="180" t="s">
        <v>61</v>
      </c>
      <c r="C30" s="181" t="s">
        <v>871</v>
      </c>
      <c r="D30" s="186" t="s">
        <v>63</v>
      </c>
      <c r="E30" s="189" t="s">
        <v>62</v>
      </c>
      <c r="F30" s="187">
        <v>70000</v>
      </c>
      <c r="G30" s="187">
        <f>+F30*100/100</f>
        <v>70000</v>
      </c>
      <c r="H30" s="187">
        <v>0</v>
      </c>
      <c r="I30" s="187">
        <v>0</v>
      </c>
    </row>
    <row r="31" spans="1:9" s="188" customFormat="1" ht="63" x14ac:dyDescent="0.2">
      <c r="A31" s="179">
        <v>240863</v>
      </c>
      <c r="B31" s="180" t="s">
        <v>64</v>
      </c>
      <c r="C31" s="181" t="s">
        <v>872</v>
      </c>
      <c r="D31" s="186" t="s">
        <v>33</v>
      </c>
      <c r="E31" s="189" t="s">
        <v>65</v>
      </c>
      <c r="F31" s="187">
        <v>348000</v>
      </c>
      <c r="G31" s="187">
        <f>+F31*90/100</f>
        <v>313200</v>
      </c>
      <c r="H31" s="187">
        <f>+F31*0.05</f>
        <v>17400</v>
      </c>
      <c r="I31" s="187">
        <f>+F31*0.05</f>
        <v>17400</v>
      </c>
    </row>
    <row r="32" spans="1:9" s="188" customFormat="1" ht="84" x14ac:dyDescent="0.2">
      <c r="A32" s="179">
        <v>240874</v>
      </c>
      <c r="B32" s="180" t="s">
        <v>66</v>
      </c>
      <c r="C32" s="181" t="s">
        <v>873</v>
      </c>
      <c r="D32" s="186" t="s">
        <v>19</v>
      </c>
      <c r="E32" s="189" t="s">
        <v>67</v>
      </c>
      <c r="F32" s="187">
        <v>280000</v>
      </c>
      <c r="G32" s="187">
        <f>+F32*90/100</f>
        <v>252000</v>
      </c>
      <c r="H32" s="187">
        <f>+F32*0.05</f>
        <v>14000</v>
      </c>
      <c r="I32" s="187">
        <f>+F32*0.05</f>
        <v>14000</v>
      </c>
    </row>
    <row r="33" spans="1:9" s="188" customFormat="1" ht="84" x14ac:dyDescent="0.2">
      <c r="A33" s="179">
        <v>240906</v>
      </c>
      <c r="B33" s="180" t="s">
        <v>68</v>
      </c>
      <c r="C33" s="181" t="s">
        <v>874</v>
      </c>
      <c r="D33" s="186" t="s">
        <v>19</v>
      </c>
      <c r="E33" s="189" t="s">
        <v>69</v>
      </c>
      <c r="F33" s="187">
        <f>345000+172500</f>
        <v>517500</v>
      </c>
      <c r="G33" s="187">
        <f>+F33*90/100</f>
        <v>465750</v>
      </c>
      <c r="H33" s="187">
        <f>+F33*0.05</f>
        <v>25875</v>
      </c>
      <c r="I33" s="187">
        <f>+F33*0.05</f>
        <v>25875</v>
      </c>
    </row>
    <row r="34" spans="1:9" s="188" customFormat="1" ht="84" x14ac:dyDescent="0.2">
      <c r="A34" s="179">
        <v>240906</v>
      </c>
      <c r="B34" s="180" t="s">
        <v>70</v>
      </c>
      <c r="C34" s="181" t="s">
        <v>875</v>
      </c>
      <c r="D34" s="186" t="s">
        <v>33</v>
      </c>
      <c r="E34" s="189" t="s">
        <v>71</v>
      </c>
      <c r="F34" s="187">
        <v>76400</v>
      </c>
      <c r="G34" s="187">
        <v>0</v>
      </c>
      <c r="H34" s="187">
        <f>+F34</f>
        <v>76400</v>
      </c>
      <c r="I34" s="187">
        <v>0</v>
      </c>
    </row>
    <row r="35" spans="1:9" s="188" customFormat="1" ht="84" x14ac:dyDescent="0.2">
      <c r="A35" s="179">
        <v>240910</v>
      </c>
      <c r="B35" s="180" t="s">
        <v>72</v>
      </c>
      <c r="C35" s="190" t="s">
        <v>876</v>
      </c>
      <c r="D35" s="186" t="s">
        <v>16</v>
      </c>
      <c r="E35" s="189" t="s">
        <v>73</v>
      </c>
      <c r="F35" s="187">
        <v>25000</v>
      </c>
      <c r="G35" s="187">
        <f>+F35*90/100</f>
        <v>22500</v>
      </c>
      <c r="H35" s="187">
        <f>+F35*0.05</f>
        <v>1250</v>
      </c>
      <c r="I35" s="187">
        <f>+F35*0.05</f>
        <v>1250</v>
      </c>
    </row>
    <row r="36" spans="1:9" s="188" customFormat="1" ht="84" x14ac:dyDescent="0.2">
      <c r="A36" s="179">
        <v>240932</v>
      </c>
      <c r="B36" s="180" t="s">
        <v>74</v>
      </c>
      <c r="C36" s="190" t="s">
        <v>877</v>
      </c>
      <c r="D36" s="186" t="s">
        <v>33</v>
      </c>
      <c r="E36" s="189" t="s">
        <v>75</v>
      </c>
      <c r="F36" s="187">
        <v>96000</v>
      </c>
      <c r="G36" s="187">
        <f>+F36</f>
        <v>96000</v>
      </c>
      <c r="H36" s="187">
        <v>0</v>
      </c>
      <c r="I36" s="187">
        <v>0</v>
      </c>
    </row>
    <row r="37" spans="1:9" s="188" customFormat="1" ht="84" x14ac:dyDescent="0.2">
      <c r="A37" s="179">
        <v>240946</v>
      </c>
      <c r="B37" s="180" t="s">
        <v>76</v>
      </c>
      <c r="C37" s="190" t="s">
        <v>878</v>
      </c>
      <c r="D37" s="191" t="s">
        <v>77</v>
      </c>
      <c r="E37" s="189" t="s">
        <v>78</v>
      </c>
      <c r="F37" s="187">
        <v>57000</v>
      </c>
      <c r="G37" s="187">
        <f>+F37*50/100</f>
        <v>28500</v>
      </c>
      <c r="H37" s="187">
        <f>+F37*0</f>
        <v>0</v>
      </c>
      <c r="I37" s="187">
        <f>+F37*50/100</f>
        <v>28500</v>
      </c>
    </row>
    <row r="38" spans="1:9" s="188" customFormat="1" ht="84" x14ac:dyDescent="0.2">
      <c r="A38" s="179">
        <v>240947</v>
      </c>
      <c r="B38" s="180" t="s">
        <v>79</v>
      </c>
      <c r="C38" s="190" t="s">
        <v>879</v>
      </c>
      <c r="D38" s="186" t="s">
        <v>16</v>
      </c>
      <c r="E38" s="182" t="s">
        <v>80</v>
      </c>
      <c r="F38" s="187">
        <v>20000</v>
      </c>
      <c r="G38" s="187">
        <f t="shared" ref="G38:G45" si="5">+F38*90/100</f>
        <v>18000</v>
      </c>
      <c r="H38" s="187">
        <f t="shared" ref="H38:H45" si="6">+F38*0.05</f>
        <v>1000</v>
      </c>
      <c r="I38" s="187">
        <f t="shared" ref="I38:I45" si="7">+F38*0.05</f>
        <v>1000</v>
      </c>
    </row>
    <row r="39" spans="1:9" s="188" customFormat="1" ht="84" x14ac:dyDescent="0.2">
      <c r="A39" s="192" t="s">
        <v>880</v>
      </c>
      <c r="B39" s="180"/>
      <c r="C39" s="190" t="s">
        <v>881</v>
      </c>
      <c r="D39" s="180"/>
      <c r="E39" s="193" t="s">
        <v>882</v>
      </c>
      <c r="F39" s="187">
        <v>4987.5</v>
      </c>
      <c r="G39" s="194">
        <f t="shared" si="5"/>
        <v>4488.75</v>
      </c>
      <c r="H39" s="194">
        <f t="shared" si="6"/>
        <v>249.375</v>
      </c>
      <c r="I39" s="194">
        <f t="shared" si="7"/>
        <v>249.375</v>
      </c>
    </row>
    <row r="40" spans="1:9" s="188" customFormat="1" ht="84" x14ac:dyDescent="0.2">
      <c r="A40" s="192" t="s">
        <v>883</v>
      </c>
      <c r="B40" s="180"/>
      <c r="C40" s="190" t="s">
        <v>884</v>
      </c>
      <c r="D40" s="180"/>
      <c r="E40" s="193" t="s">
        <v>81</v>
      </c>
      <c r="F40" s="187">
        <v>191420.25</v>
      </c>
      <c r="G40" s="194">
        <f t="shared" si="5"/>
        <v>172278.22500000001</v>
      </c>
      <c r="H40" s="194">
        <f t="shared" si="6"/>
        <v>9571.0125000000007</v>
      </c>
      <c r="I40" s="194">
        <f t="shared" si="7"/>
        <v>9571.0125000000007</v>
      </c>
    </row>
    <row r="41" spans="1:9" s="188" customFormat="1" ht="84" x14ac:dyDescent="0.2">
      <c r="A41" s="192" t="s">
        <v>885</v>
      </c>
      <c r="B41" s="180"/>
      <c r="C41" s="190" t="s">
        <v>886</v>
      </c>
      <c r="D41" s="180"/>
      <c r="E41" s="193" t="s">
        <v>82</v>
      </c>
      <c r="F41" s="187">
        <v>42750</v>
      </c>
      <c r="G41" s="194">
        <f t="shared" si="5"/>
        <v>38475</v>
      </c>
      <c r="H41" s="194">
        <f t="shared" si="6"/>
        <v>2137.5</v>
      </c>
      <c r="I41" s="194">
        <f t="shared" si="7"/>
        <v>2137.5</v>
      </c>
    </row>
    <row r="42" spans="1:9" s="188" customFormat="1" ht="63" x14ac:dyDescent="0.2">
      <c r="A42" s="192" t="s">
        <v>885</v>
      </c>
      <c r="B42" s="180"/>
      <c r="C42" s="190" t="s">
        <v>887</v>
      </c>
      <c r="D42" s="180"/>
      <c r="E42" s="193" t="s">
        <v>83</v>
      </c>
      <c r="F42" s="187">
        <v>95000</v>
      </c>
      <c r="G42" s="194">
        <f t="shared" si="5"/>
        <v>85500</v>
      </c>
      <c r="H42" s="194">
        <f t="shared" si="6"/>
        <v>4750</v>
      </c>
      <c r="I42" s="194">
        <f t="shared" si="7"/>
        <v>4750</v>
      </c>
    </row>
    <row r="43" spans="1:9" s="188" customFormat="1" ht="84" x14ac:dyDescent="0.2">
      <c r="A43" s="192" t="s">
        <v>885</v>
      </c>
      <c r="B43" s="180"/>
      <c r="C43" s="190" t="s">
        <v>888</v>
      </c>
      <c r="D43" s="180"/>
      <c r="E43" s="193" t="s">
        <v>84</v>
      </c>
      <c r="F43" s="187">
        <v>54150</v>
      </c>
      <c r="G43" s="194">
        <f t="shared" si="5"/>
        <v>48735</v>
      </c>
      <c r="H43" s="194">
        <f t="shared" si="6"/>
        <v>2707.5</v>
      </c>
      <c r="I43" s="194">
        <f t="shared" si="7"/>
        <v>2707.5</v>
      </c>
    </row>
    <row r="44" spans="1:9" s="188" customFormat="1" ht="84" x14ac:dyDescent="0.2">
      <c r="A44" s="192" t="s">
        <v>889</v>
      </c>
      <c r="B44" s="180"/>
      <c r="C44" s="190" t="s">
        <v>890</v>
      </c>
      <c r="D44" s="180"/>
      <c r="E44" s="193" t="s">
        <v>891</v>
      </c>
      <c r="F44" s="187">
        <v>280000</v>
      </c>
      <c r="G44" s="194">
        <f t="shared" si="5"/>
        <v>252000</v>
      </c>
      <c r="H44" s="194">
        <f t="shared" si="6"/>
        <v>14000</v>
      </c>
      <c r="I44" s="194">
        <f t="shared" si="7"/>
        <v>14000</v>
      </c>
    </row>
    <row r="45" spans="1:9" s="188" customFormat="1" x14ac:dyDescent="0.2">
      <c r="A45" s="180"/>
      <c r="B45" s="180"/>
      <c r="C45" s="180"/>
      <c r="D45" s="180"/>
      <c r="E45" s="195"/>
      <c r="F45" s="187"/>
      <c r="G45" s="187">
        <f t="shared" si="5"/>
        <v>0</v>
      </c>
      <c r="H45" s="187">
        <f t="shared" si="6"/>
        <v>0</v>
      </c>
      <c r="I45" s="187">
        <f t="shared" si="7"/>
        <v>0</v>
      </c>
    </row>
    <row r="46" spans="1:9" s="188" customFormat="1" ht="21.75" thickBot="1" x14ac:dyDescent="0.25">
      <c r="A46" s="196"/>
      <c r="B46" s="196"/>
      <c r="C46" s="196"/>
      <c r="D46" s="196"/>
      <c r="E46" s="197"/>
      <c r="F46" s="198">
        <f>SUM(F4:F45)</f>
        <v>10410400.25</v>
      </c>
      <c r="G46" s="198">
        <f>SUM(G4:G45)</f>
        <v>9221356.4749999996</v>
      </c>
      <c r="H46" s="198">
        <f>SUM(H4:H45)</f>
        <v>617611.88749999995</v>
      </c>
      <c r="I46" s="198">
        <f>SUM(I4:I45)</f>
        <v>571431.88749999995</v>
      </c>
    </row>
    <row r="47" spans="1:9" s="188" customFormat="1" ht="21.75" thickTop="1" x14ac:dyDescent="0.2">
      <c r="A47" s="174"/>
      <c r="B47" s="174"/>
      <c r="C47" s="174"/>
      <c r="D47" s="174"/>
      <c r="E47" s="199"/>
      <c r="F47" s="200"/>
      <c r="G47" s="200"/>
      <c r="H47" s="200"/>
      <c r="I47" s="200">
        <f>+F46-G46-H46-I46</f>
        <v>0</v>
      </c>
    </row>
    <row r="48" spans="1:9" s="188" customFormat="1" x14ac:dyDescent="0.2">
      <c r="A48" s="174"/>
      <c r="B48" s="174"/>
      <c r="C48" s="174"/>
      <c r="D48" s="174"/>
      <c r="E48" s="199"/>
      <c r="F48" s="200"/>
      <c r="G48" s="200"/>
      <c r="H48" s="200"/>
      <c r="I48" s="200"/>
    </row>
    <row r="49" spans="1:9" s="188" customFormat="1" x14ac:dyDescent="0.2">
      <c r="A49" s="174"/>
      <c r="B49" s="201" t="s">
        <v>85</v>
      </c>
      <c r="C49" s="188" t="s">
        <v>86</v>
      </c>
      <c r="E49" s="202"/>
      <c r="F49" s="200"/>
      <c r="G49" s="200"/>
      <c r="H49" s="200"/>
      <c r="I49" s="200"/>
    </row>
    <row r="50" spans="1:9" s="188" customFormat="1" x14ac:dyDescent="0.2">
      <c r="A50" s="174"/>
      <c r="B50" s="201" t="s">
        <v>3</v>
      </c>
      <c r="C50" s="188" t="s">
        <v>87</v>
      </c>
      <c r="E50" s="202"/>
      <c r="F50" s="200"/>
      <c r="G50" s="200"/>
      <c r="H50" s="200"/>
      <c r="I50" s="200"/>
    </row>
    <row r="51" spans="1:9" s="188" customFormat="1" x14ac:dyDescent="0.2">
      <c r="A51" s="174"/>
      <c r="B51" s="201" t="s">
        <v>88</v>
      </c>
      <c r="C51" s="188" t="s">
        <v>89</v>
      </c>
      <c r="E51" s="202"/>
      <c r="F51" s="200"/>
      <c r="G51" s="200"/>
      <c r="H51" s="200"/>
      <c r="I51" s="200"/>
    </row>
    <row r="52" spans="1:9" s="188" customFormat="1" x14ac:dyDescent="0.2">
      <c r="A52" s="174"/>
      <c r="B52" s="201" t="s">
        <v>90</v>
      </c>
      <c r="C52" s="188" t="s">
        <v>91</v>
      </c>
      <c r="E52" s="202"/>
      <c r="F52" s="200"/>
      <c r="G52" s="200"/>
      <c r="H52" s="200"/>
      <c r="I52" s="200"/>
    </row>
    <row r="53" spans="1:9" s="177" customFormat="1" x14ac:dyDescent="0.2">
      <c r="A53" s="174"/>
      <c r="B53" s="201" t="s">
        <v>92</v>
      </c>
      <c r="C53" s="203" t="s">
        <v>93</v>
      </c>
      <c r="E53" s="204"/>
      <c r="F53" s="200"/>
      <c r="G53" s="200"/>
      <c r="H53" s="200"/>
      <c r="I53" s="200"/>
    </row>
    <row r="54" spans="1:9" customFormat="1" ht="14.25" x14ac:dyDescent="0.2"/>
    <row r="55" spans="1:9" customFormat="1" ht="14.25" x14ac:dyDescent="0.2"/>
  </sheetData>
  <mergeCells count="8">
    <mergeCell ref="A1:I1"/>
    <mergeCell ref="E2:E3"/>
    <mergeCell ref="F2:F3"/>
    <mergeCell ref="G2:I2"/>
    <mergeCell ref="A2:A3"/>
    <mergeCell ref="B2:B3"/>
    <mergeCell ref="C2:C3"/>
    <mergeCell ref="D2:D3"/>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
  <sheetViews>
    <sheetView workbookViewId="0">
      <selection activeCell="E6" sqref="E6"/>
    </sheetView>
  </sheetViews>
  <sheetFormatPr defaultRowHeight="21" x14ac:dyDescent="0.2"/>
  <cols>
    <col min="1" max="1" width="8.375" style="174" customWidth="1"/>
    <col min="2" max="2" width="13" style="174" bestFit="1" customWidth="1"/>
    <col min="3" max="3" width="15.875" style="174" bestFit="1" customWidth="1"/>
    <col min="4" max="4" width="25.625" style="174" customWidth="1"/>
    <col min="5" max="5" width="48.75" style="199" customWidth="1"/>
    <col min="6" max="7" width="10.5" style="200" bestFit="1" customWidth="1"/>
    <col min="8" max="9" width="9.75" style="200" bestFit="1" customWidth="1"/>
    <col min="10" max="256" width="9" style="188"/>
    <col min="257" max="257" width="8.375" style="188" customWidth="1"/>
    <col min="258" max="258" width="13" style="188" bestFit="1" customWidth="1"/>
    <col min="259" max="259" width="15.875" style="188" bestFit="1" customWidth="1"/>
    <col min="260" max="260" width="25.625" style="188" customWidth="1"/>
    <col min="261" max="261" width="48.75" style="188" customWidth="1"/>
    <col min="262" max="263" width="10.5" style="188" bestFit="1" customWidth="1"/>
    <col min="264" max="265" width="9.75" style="188" bestFit="1" customWidth="1"/>
    <col min="266" max="512" width="9" style="188"/>
    <col min="513" max="513" width="8.375" style="188" customWidth="1"/>
    <col min="514" max="514" width="13" style="188" bestFit="1" customWidth="1"/>
    <col min="515" max="515" width="15.875" style="188" bestFit="1" customWidth="1"/>
    <col min="516" max="516" width="25.625" style="188" customWidth="1"/>
    <col min="517" max="517" width="48.75" style="188" customWidth="1"/>
    <col min="518" max="519" width="10.5" style="188" bestFit="1" customWidth="1"/>
    <col min="520" max="521" width="9.75" style="188" bestFit="1" customWidth="1"/>
    <col min="522" max="768" width="9" style="188"/>
    <col min="769" max="769" width="8.375" style="188" customWidth="1"/>
    <col min="770" max="770" width="13" style="188" bestFit="1" customWidth="1"/>
    <col min="771" max="771" width="15.875" style="188" bestFit="1" customWidth="1"/>
    <col min="772" max="772" width="25.625" style="188" customWidth="1"/>
    <col min="773" max="773" width="48.75" style="188" customWidth="1"/>
    <col min="774" max="775" width="10.5" style="188" bestFit="1" customWidth="1"/>
    <col min="776" max="777" width="9.75" style="188" bestFit="1" customWidth="1"/>
    <col min="778" max="1024" width="9" style="188"/>
    <col min="1025" max="1025" width="8.375" style="188" customWidth="1"/>
    <col min="1026" max="1026" width="13" style="188" bestFit="1" customWidth="1"/>
    <col min="1027" max="1027" width="15.875" style="188" bestFit="1" customWidth="1"/>
    <col min="1028" max="1028" width="25.625" style="188" customWidth="1"/>
    <col min="1029" max="1029" width="48.75" style="188" customWidth="1"/>
    <col min="1030" max="1031" width="10.5" style="188" bestFit="1" customWidth="1"/>
    <col min="1032" max="1033" width="9.75" style="188" bestFit="1" customWidth="1"/>
    <col min="1034" max="1280" width="9" style="188"/>
    <col min="1281" max="1281" width="8.375" style="188" customWidth="1"/>
    <col min="1282" max="1282" width="13" style="188" bestFit="1" customWidth="1"/>
    <col min="1283" max="1283" width="15.875" style="188" bestFit="1" customWidth="1"/>
    <col min="1284" max="1284" width="25.625" style="188" customWidth="1"/>
    <col min="1285" max="1285" width="48.75" style="188" customWidth="1"/>
    <col min="1286" max="1287" width="10.5" style="188" bestFit="1" customWidth="1"/>
    <col min="1288" max="1289" width="9.75" style="188" bestFit="1" customWidth="1"/>
    <col min="1290" max="1536" width="9" style="188"/>
    <col min="1537" max="1537" width="8.375" style="188" customWidth="1"/>
    <col min="1538" max="1538" width="13" style="188" bestFit="1" customWidth="1"/>
    <col min="1539" max="1539" width="15.875" style="188" bestFit="1" customWidth="1"/>
    <col min="1540" max="1540" width="25.625" style="188" customWidth="1"/>
    <col min="1541" max="1541" width="48.75" style="188" customWidth="1"/>
    <col min="1542" max="1543" width="10.5" style="188" bestFit="1" customWidth="1"/>
    <col min="1544" max="1545" width="9.75" style="188" bestFit="1" customWidth="1"/>
    <col min="1546" max="1792" width="9" style="188"/>
    <col min="1793" max="1793" width="8.375" style="188" customWidth="1"/>
    <col min="1794" max="1794" width="13" style="188" bestFit="1" customWidth="1"/>
    <col min="1795" max="1795" width="15.875" style="188" bestFit="1" customWidth="1"/>
    <col min="1796" max="1796" width="25.625" style="188" customWidth="1"/>
    <col min="1797" max="1797" width="48.75" style="188" customWidth="1"/>
    <col min="1798" max="1799" width="10.5" style="188" bestFit="1" customWidth="1"/>
    <col min="1800" max="1801" width="9.75" style="188" bestFit="1" customWidth="1"/>
    <col min="1802" max="2048" width="9" style="188"/>
    <col min="2049" max="2049" width="8.375" style="188" customWidth="1"/>
    <col min="2050" max="2050" width="13" style="188" bestFit="1" customWidth="1"/>
    <col min="2051" max="2051" width="15.875" style="188" bestFit="1" customWidth="1"/>
    <col min="2052" max="2052" width="25.625" style="188" customWidth="1"/>
    <col min="2053" max="2053" width="48.75" style="188" customWidth="1"/>
    <col min="2054" max="2055" width="10.5" style="188" bestFit="1" customWidth="1"/>
    <col min="2056" max="2057" width="9.75" style="188" bestFit="1" customWidth="1"/>
    <col min="2058" max="2304" width="9" style="188"/>
    <col min="2305" max="2305" width="8.375" style="188" customWidth="1"/>
    <col min="2306" max="2306" width="13" style="188" bestFit="1" customWidth="1"/>
    <col min="2307" max="2307" width="15.875" style="188" bestFit="1" customWidth="1"/>
    <col min="2308" max="2308" width="25.625" style="188" customWidth="1"/>
    <col min="2309" max="2309" width="48.75" style="188" customWidth="1"/>
    <col min="2310" max="2311" width="10.5" style="188" bestFit="1" customWidth="1"/>
    <col min="2312" max="2313" width="9.75" style="188" bestFit="1" customWidth="1"/>
    <col min="2314" max="2560" width="9" style="188"/>
    <col min="2561" max="2561" width="8.375" style="188" customWidth="1"/>
    <col min="2562" max="2562" width="13" style="188" bestFit="1" customWidth="1"/>
    <col min="2563" max="2563" width="15.875" style="188" bestFit="1" customWidth="1"/>
    <col min="2564" max="2564" width="25.625" style="188" customWidth="1"/>
    <col min="2565" max="2565" width="48.75" style="188" customWidth="1"/>
    <col min="2566" max="2567" width="10.5" style="188" bestFit="1" customWidth="1"/>
    <col min="2568" max="2569" width="9.75" style="188" bestFit="1" customWidth="1"/>
    <col min="2570" max="2816" width="9" style="188"/>
    <col min="2817" max="2817" width="8.375" style="188" customWidth="1"/>
    <col min="2818" max="2818" width="13" style="188" bestFit="1" customWidth="1"/>
    <col min="2819" max="2819" width="15.875" style="188" bestFit="1" customWidth="1"/>
    <col min="2820" max="2820" width="25.625" style="188" customWidth="1"/>
    <col min="2821" max="2821" width="48.75" style="188" customWidth="1"/>
    <col min="2822" max="2823" width="10.5" style="188" bestFit="1" customWidth="1"/>
    <col min="2824" max="2825" width="9.75" style="188" bestFit="1" customWidth="1"/>
    <col min="2826" max="3072" width="9" style="188"/>
    <col min="3073" max="3073" width="8.375" style="188" customWidth="1"/>
    <col min="3074" max="3074" width="13" style="188" bestFit="1" customWidth="1"/>
    <col min="3075" max="3075" width="15.875" style="188" bestFit="1" customWidth="1"/>
    <col min="3076" max="3076" width="25.625" style="188" customWidth="1"/>
    <col min="3077" max="3077" width="48.75" style="188" customWidth="1"/>
    <col min="3078" max="3079" width="10.5" style="188" bestFit="1" customWidth="1"/>
    <col min="3080" max="3081" width="9.75" style="188" bestFit="1" customWidth="1"/>
    <col min="3082" max="3328" width="9" style="188"/>
    <col min="3329" max="3329" width="8.375" style="188" customWidth="1"/>
    <col min="3330" max="3330" width="13" style="188" bestFit="1" customWidth="1"/>
    <col min="3331" max="3331" width="15.875" style="188" bestFit="1" customWidth="1"/>
    <col min="3332" max="3332" width="25.625" style="188" customWidth="1"/>
    <col min="3333" max="3333" width="48.75" style="188" customWidth="1"/>
    <col min="3334" max="3335" width="10.5" style="188" bestFit="1" customWidth="1"/>
    <col min="3336" max="3337" width="9.75" style="188" bestFit="1" customWidth="1"/>
    <col min="3338" max="3584" width="9" style="188"/>
    <col min="3585" max="3585" width="8.375" style="188" customWidth="1"/>
    <col min="3586" max="3586" width="13" style="188" bestFit="1" customWidth="1"/>
    <col min="3587" max="3587" width="15.875" style="188" bestFit="1" customWidth="1"/>
    <col min="3588" max="3588" width="25.625" style="188" customWidth="1"/>
    <col min="3589" max="3589" width="48.75" style="188" customWidth="1"/>
    <col min="3590" max="3591" width="10.5" style="188" bestFit="1" customWidth="1"/>
    <col min="3592" max="3593" width="9.75" style="188" bestFit="1" customWidth="1"/>
    <col min="3594" max="3840" width="9" style="188"/>
    <col min="3841" max="3841" width="8.375" style="188" customWidth="1"/>
    <col min="3842" max="3842" width="13" style="188" bestFit="1" customWidth="1"/>
    <col min="3843" max="3843" width="15.875" style="188" bestFit="1" customWidth="1"/>
    <col min="3844" max="3844" width="25.625" style="188" customWidth="1"/>
    <col min="3845" max="3845" width="48.75" style="188" customWidth="1"/>
    <col min="3846" max="3847" width="10.5" style="188" bestFit="1" customWidth="1"/>
    <col min="3848" max="3849" width="9.75" style="188" bestFit="1" customWidth="1"/>
    <col min="3850" max="4096" width="9" style="188"/>
    <col min="4097" max="4097" width="8.375" style="188" customWidth="1"/>
    <col min="4098" max="4098" width="13" style="188" bestFit="1" customWidth="1"/>
    <col min="4099" max="4099" width="15.875" style="188" bestFit="1" customWidth="1"/>
    <col min="4100" max="4100" width="25.625" style="188" customWidth="1"/>
    <col min="4101" max="4101" width="48.75" style="188" customWidth="1"/>
    <col min="4102" max="4103" width="10.5" style="188" bestFit="1" customWidth="1"/>
    <col min="4104" max="4105" width="9.75" style="188" bestFit="1" customWidth="1"/>
    <col min="4106" max="4352" width="9" style="188"/>
    <col min="4353" max="4353" width="8.375" style="188" customWidth="1"/>
    <col min="4354" max="4354" width="13" style="188" bestFit="1" customWidth="1"/>
    <col min="4355" max="4355" width="15.875" style="188" bestFit="1" customWidth="1"/>
    <col min="4356" max="4356" width="25.625" style="188" customWidth="1"/>
    <col min="4357" max="4357" width="48.75" style="188" customWidth="1"/>
    <col min="4358" max="4359" width="10.5" style="188" bestFit="1" customWidth="1"/>
    <col min="4360" max="4361" width="9.75" style="188" bestFit="1" customWidth="1"/>
    <col min="4362" max="4608" width="9" style="188"/>
    <col min="4609" max="4609" width="8.375" style="188" customWidth="1"/>
    <col min="4610" max="4610" width="13" style="188" bestFit="1" customWidth="1"/>
    <col min="4611" max="4611" width="15.875" style="188" bestFit="1" customWidth="1"/>
    <col min="4612" max="4612" width="25.625" style="188" customWidth="1"/>
    <col min="4613" max="4613" width="48.75" style="188" customWidth="1"/>
    <col min="4614" max="4615" width="10.5" style="188" bestFit="1" customWidth="1"/>
    <col min="4616" max="4617" width="9.75" style="188" bestFit="1" customWidth="1"/>
    <col min="4618" max="4864" width="9" style="188"/>
    <col min="4865" max="4865" width="8.375" style="188" customWidth="1"/>
    <col min="4866" max="4866" width="13" style="188" bestFit="1" customWidth="1"/>
    <col min="4867" max="4867" width="15.875" style="188" bestFit="1" customWidth="1"/>
    <col min="4868" max="4868" width="25.625" style="188" customWidth="1"/>
    <col min="4869" max="4869" width="48.75" style="188" customWidth="1"/>
    <col min="4870" max="4871" width="10.5" style="188" bestFit="1" customWidth="1"/>
    <col min="4872" max="4873" width="9.75" style="188" bestFit="1" customWidth="1"/>
    <col min="4874" max="5120" width="9" style="188"/>
    <col min="5121" max="5121" width="8.375" style="188" customWidth="1"/>
    <col min="5122" max="5122" width="13" style="188" bestFit="1" customWidth="1"/>
    <col min="5123" max="5123" width="15.875" style="188" bestFit="1" customWidth="1"/>
    <col min="5124" max="5124" width="25.625" style="188" customWidth="1"/>
    <col min="5125" max="5125" width="48.75" style="188" customWidth="1"/>
    <col min="5126" max="5127" width="10.5" style="188" bestFit="1" customWidth="1"/>
    <col min="5128" max="5129" width="9.75" style="188" bestFit="1" customWidth="1"/>
    <col min="5130" max="5376" width="9" style="188"/>
    <col min="5377" max="5377" width="8.375" style="188" customWidth="1"/>
    <col min="5378" max="5378" width="13" style="188" bestFit="1" customWidth="1"/>
    <col min="5379" max="5379" width="15.875" style="188" bestFit="1" customWidth="1"/>
    <col min="5380" max="5380" width="25.625" style="188" customWidth="1"/>
    <col min="5381" max="5381" width="48.75" style="188" customWidth="1"/>
    <col min="5382" max="5383" width="10.5" style="188" bestFit="1" customWidth="1"/>
    <col min="5384" max="5385" width="9.75" style="188" bestFit="1" customWidth="1"/>
    <col min="5386" max="5632" width="9" style="188"/>
    <col min="5633" max="5633" width="8.375" style="188" customWidth="1"/>
    <col min="5634" max="5634" width="13" style="188" bestFit="1" customWidth="1"/>
    <col min="5635" max="5635" width="15.875" style="188" bestFit="1" customWidth="1"/>
    <col min="5636" max="5636" width="25.625" style="188" customWidth="1"/>
    <col min="5637" max="5637" width="48.75" style="188" customWidth="1"/>
    <col min="5638" max="5639" width="10.5" style="188" bestFit="1" customWidth="1"/>
    <col min="5640" max="5641" width="9.75" style="188" bestFit="1" customWidth="1"/>
    <col min="5642" max="5888" width="9" style="188"/>
    <col min="5889" max="5889" width="8.375" style="188" customWidth="1"/>
    <col min="5890" max="5890" width="13" style="188" bestFit="1" customWidth="1"/>
    <col min="5891" max="5891" width="15.875" style="188" bestFit="1" customWidth="1"/>
    <col min="5892" max="5892" width="25.625" style="188" customWidth="1"/>
    <col min="5893" max="5893" width="48.75" style="188" customWidth="1"/>
    <col min="5894" max="5895" width="10.5" style="188" bestFit="1" customWidth="1"/>
    <col min="5896" max="5897" width="9.75" style="188" bestFit="1" customWidth="1"/>
    <col min="5898" max="6144" width="9" style="188"/>
    <col min="6145" max="6145" width="8.375" style="188" customWidth="1"/>
    <col min="6146" max="6146" width="13" style="188" bestFit="1" customWidth="1"/>
    <col min="6147" max="6147" width="15.875" style="188" bestFit="1" customWidth="1"/>
    <col min="6148" max="6148" width="25.625" style="188" customWidth="1"/>
    <col min="6149" max="6149" width="48.75" style="188" customWidth="1"/>
    <col min="6150" max="6151" width="10.5" style="188" bestFit="1" customWidth="1"/>
    <col min="6152" max="6153" width="9.75" style="188" bestFit="1" customWidth="1"/>
    <col min="6154" max="6400" width="9" style="188"/>
    <col min="6401" max="6401" width="8.375" style="188" customWidth="1"/>
    <col min="6402" max="6402" width="13" style="188" bestFit="1" customWidth="1"/>
    <col min="6403" max="6403" width="15.875" style="188" bestFit="1" customWidth="1"/>
    <col min="6404" max="6404" width="25.625" style="188" customWidth="1"/>
    <col min="6405" max="6405" width="48.75" style="188" customWidth="1"/>
    <col min="6406" max="6407" width="10.5" style="188" bestFit="1" customWidth="1"/>
    <col min="6408" max="6409" width="9.75" style="188" bestFit="1" customWidth="1"/>
    <col min="6410" max="6656" width="9" style="188"/>
    <col min="6657" max="6657" width="8.375" style="188" customWidth="1"/>
    <col min="6658" max="6658" width="13" style="188" bestFit="1" customWidth="1"/>
    <col min="6659" max="6659" width="15.875" style="188" bestFit="1" customWidth="1"/>
    <col min="6660" max="6660" width="25.625" style="188" customWidth="1"/>
    <col min="6661" max="6661" width="48.75" style="188" customWidth="1"/>
    <col min="6662" max="6663" width="10.5" style="188" bestFit="1" customWidth="1"/>
    <col min="6664" max="6665" width="9.75" style="188" bestFit="1" customWidth="1"/>
    <col min="6666" max="6912" width="9" style="188"/>
    <col min="6913" max="6913" width="8.375" style="188" customWidth="1"/>
    <col min="6914" max="6914" width="13" style="188" bestFit="1" customWidth="1"/>
    <col min="6915" max="6915" width="15.875" style="188" bestFit="1" customWidth="1"/>
    <col min="6916" max="6916" width="25.625" style="188" customWidth="1"/>
    <col min="6917" max="6917" width="48.75" style="188" customWidth="1"/>
    <col min="6918" max="6919" width="10.5" style="188" bestFit="1" customWidth="1"/>
    <col min="6920" max="6921" width="9.75" style="188" bestFit="1" customWidth="1"/>
    <col min="6922" max="7168" width="9" style="188"/>
    <col min="7169" max="7169" width="8.375" style="188" customWidth="1"/>
    <col min="7170" max="7170" width="13" style="188" bestFit="1" customWidth="1"/>
    <col min="7171" max="7171" width="15.875" style="188" bestFit="1" customWidth="1"/>
    <col min="7172" max="7172" width="25.625" style="188" customWidth="1"/>
    <col min="7173" max="7173" width="48.75" style="188" customWidth="1"/>
    <col min="7174" max="7175" width="10.5" style="188" bestFit="1" customWidth="1"/>
    <col min="7176" max="7177" width="9.75" style="188" bestFit="1" customWidth="1"/>
    <col min="7178" max="7424" width="9" style="188"/>
    <col min="7425" max="7425" width="8.375" style="188" customWidth="1"/>
    <col min="7426" max="7426" width="13" style="188" bestFit="1" customWidth="1"/>
    <col min="7427" max="7427" width="15.875" style="188" bestFit="1" customWidth="1"/>
    <col min="7428" max="7428" width="25.625" style="188" customWidth="1"/>
    <col min="7429" max="7429" width="48.75" style="188" customWidth="1"/>
    <col min="7430" max="7431" width="10.5" style="188" bestFit="1" customWidth="1"/>
    <col min="7432" max="7433" width="9.75" style="188" bestFit="1" customWidth="1"/>
    <col min="7434" max="7680" width="9" style="188"/>
    <col min="7681" max="7681" width="8.375" style="188" customWidth="1"/>
    <col min="7682" max="7682" width="13" style="188" bestFit="1" customWidth="1"/>
    <col min="7683" max="7683" width="15.875" style="188" bestFit="1" customWidth="1"/>
    <col min="7684" max="7684" width="25.625" style="188" customWidth="1"/>
    <col min="7685" max="7685" width="48.75" style="188" customWidth="1"/>
    <col min="7686" max="7687" width="10.5" style="188" bestFit="1" customWidth="1"/>
    <col min="7688" max="7689" width="9.75" style="188" bestFit="1" customWidth="1"/>
    <col min="7690" max="7936" width="9" style="188"/>
    <col min="7937" max="7937" width="8.375" style="188" customWidth="1"/>
    <col min="7938" max="7938" width="13" style="188" bestFit="1" customWidth="1"/>
    <col min="7939" max="7939" width="15.875" style="188" bestFit="1" customWidth="1"/>
    <col min="7940" max="7940" width="25.625" style="188" customWidth="1"/>
    <col min="7941" max="7941" width="48.75" style="188" customWidth="1"/>
    <col min="7942" max="7943" width="10.5" style="188" bestFit="1" customWidth="1"/>
    <col min="7944" max="7945" width="9.75" style="188" bestFit="1" customWidth="1"/>
    <col min="7946" max="8192" width="9" style="188"/>
    <col min="8193" max="8193" width="8.375" style="188" customWidth="1"/>
    <col min="8194" max="8194" width="13" style="188" bestFit="1" customWidth="1"/>
    <col min="8195" max="8195" width="15.875" style="188" bestFit="1" customWidth="1"/>
    <col min="8196" max="8196" width="25.625" style="188" customWidth="1"/>
    <col min="8197" max="8197" width="48.75" style="188" customWidth="1"/>
    <col min="8198" max="8199" width="10.5" style="188" bestFit="1" customWidth="1"/>
    <col min="8200" max="8201" width="9.75" style="188" bestFit="1" customWidth="1"/>
    <col min="8202" max="8448" width="9" style="188"/>
    <col min="8449" max="8449" width="8.375" style="188" customWidth="1"/>
    <col min="8450" max="8450" width="13" style="188" bestFit="1" customWidth="1"/>
    <col min="8451" max="8451" width="15.875" style="188" bestFit="1" customWidth="1"/>
    <col min="8452" max="8452" width="25.625" style="188" customWidth="1"/>
    <col min="8453" max="8453" width="48.75" style="188" customWidth="1"/>
    <col min="8454" max="8455" width="10.5" style="188" bestFit="1" customWidth="1"/>
    <col min="8456" max="8457" width="9.75" style="188" bestFit="1" customWidth="1"/>
    <col min="8458" max="8704" width="9" style="188"/>
    <col min="8705" max="8705" width="8.375" style="188" customWidth="1"/>
    <col min="8706" max="8706" width="13" style="188" bestFit="1" customWidth="1"/>
    <col min="8707" max="8707" width="15.875" style="188" bestFit="1" customWidth="1"/>
    <col min="8708" max="8708" width="25.625" style="188" customWidth="1"/>
    <col min="8709" max="8709" width="48.75" style="188" customWidth="1"/>
    <col min="8710" max="8711" width="10.5" style="188" bestFit="1" customWidth="1"/>
    <col min="8712" max="8713" width="9.75" style="188" bestFit="1" customWidth="1"/>
    <col min="8714" max="8960" width="9" style="188"/>
    <col min="8961" max="8961" width="8.375" style="188" customWidth="1"/>
    <col min="8962" max="8962" width="13" style="188" bestFit="1" customWidth="1"/>
    <col min="8963" max="8963" width="15.875" style="188" bestFit="1" customWidth="1"/>
    <col min="8964" max="8964" width="25.625" style="188" customWidth="1"/>
    <col min="8965" max="8965" width="48.75" style="188" customWidth="1"/>
    <col min="8966" max="8967" width="10.5" style="188" bestFit="1" customWidth="1"/>
    <col min="8968" max="8969" width="9.75" style="188" bestFit="1" customWidth="1"/>
    <col min="8970" max="9216" width="9" style="188"/>
    <col min="9217" max="9217" width="8.375" style="188" customWidth="1"/>
    <col min="9218" max="9218" width="13" style="188" bestFit="1" customWidth="1"/>
    <col min="9219" max="9219" width="15.875" style="188" bestFit="1" customWidth="1"/>
    <col min="9220" max="9220" width="25.625" style="188" customWidth="1"/>
    <col min="9221" max="9221" width="48.75" style="188" customWidth="1"/>
    <col min="9222" max="9223" width="10.5" style="188" bestFit="1" customWidth="1"/>
    <col min="9224" max="9225" width="9.75" style="188" bestFit="1" customWidth="1"/>
    <col min="9226" max="9472" width="9" style="188"/>
    <col min="9473" max="9473" width="8.375" style="188" customWidth="1"/>
    <col min="9474" max="9474" width="13" style="188" bestFit="1" customWidth="1"/>
    <col min="9475" max="9475" width="15.875" style="188" bestFit="1" customWidth="1"/>
    <col min="9476" max="9476" width="25.625" style="188" customWidth="1"/>
    <col min="9477" max="9477" width="48.75" style="188" customWidth="1"/>
    <col min="9478" max="9479" width="10.5" style="188" bestFit="1" customWidth="1"/>
    <col min="9480" max="9481" width="9.75" style="188" bestFit="1" customWidth="1"/>
    <col min="9482" max="9728" width="9" style="188"/>
    <col min="9729" max="9729" width="8.375" style="188" customWidth="1"/>
    <col min="9730" max="9730" width="13" style="188" bestFit="1" customWidth="1"/>
    <col min="9731" max="9731" width="15.875" style="188" bestFit="1" customWidth="1"/>
    <col min="9732" max="9732" width="25.625" style="188" customWidth="1"/>
    <col min="9733" max="9733" width="48.75" style="188" customWidth="1"/>
    <col min="9734" max="9735" width="10.5" style="188" bestFit="1" customWidth="1"/>
    <col min="9736" max="9737" width="9.75" style="188" bestFit="1" customWidth="1"/>
    <col min="9738" max="9984" width="9" style="188"/>
    <col min="9985" max="9985" width="8.375" style="188" customWidth="1"/>
    <col min="9986" max="9986" width="13" style="188" bestFit="1" customWidth="1"/>
    <col min="9987" max="9987" width="15.875" style="188" bestFit="1" customWidth="1"/>
    <col min="9988" max="9988" width="25.625" style="188" customWidth="1"/>
    <col min="9989" max="9989" width="48.75" style="188" customWidth="1"/>
    <col min="9990" max="9991" width="10.5" style="188" bestFit="1" customWidth="1"/>
    <col min="9992" max="9993" width="9.75" style="188" bestFit="1" customWidth="1"/>
    <col min="9994" max="10240" width="9" style="188"/>
    <col min="10241" max="10241" width="8.375" style="188" customWidth="1"/>
    <col min="10242" max="10242" width="13" style="188" bestFit="1" customWidth="1"/>
    <col min="10243" max="10243" width="15.875" style="188" bestFit="1" customWidth="1"/>
    <col min="10244" max="10244" width="25.625" style="188" customWidth="1"/>
    <col min="10245" max="10245" width="48.75" style="188" customWidth="1"/>
    <col min="10246" max="10247" width="10.5" style="188" bestFit="1" customWidth="1"/>
    <col min="10248" max="10249" width="9.75" style="188" bestFit="1" customWidth="1"/>
    <col min="10250" max="10496" width="9" style="188"/>
    <col min="10497" max="10497" width="8.375" style="188" customWidth="1"/>
    <col min="10498" max="10498" width="13" style="188" bestFit="1" customWidth="1"/>
    <col min="10499" max="10499" width="15.875" style="188" bestFit="1" customWidth="1"/>
    <col min="10500" max="10500" width="25.625" style="188" customWidth="1"/>
    <col min="10501" max="10501" width="48.75" style="188" customWidth="1"/>
    <col min="10502" max="10503" width="10.5" style="188" bestFit="1" customWidth="1"/>
    <col min="10504" max="10505" width="9.75" style="188" bestFit="1" customWidth="1"/>
    <col min="10506" max="10752" width="9" style="188"/>
    <col min="10753" max="10753" width="8.375" style="188" customWidth="1"/>
    <col min="10754" max="10754" width="13" style="188" bestFit="1" customWidth="1"/>
    <col min="10755" max="10755" width="15.875" style="188" bestFit="1" customWidth="1"/>
    <col min="10756" max="10756" width="25.625" style="188" customWidth="1"/>
    <col min="10757" max="10757" width="48.75" style="188" customWidth="1"/>
    <col min="10758" max="10759" width="10.5" style="188" bestFit="1" customWidth="1"/>
    <col min="10760" max="10761" width="9.75" style="188" bestFit="1" customWidth="1"/>
    <col min="10762" max="11008" width="9" style="188"/>
    <col min="11009" max="11009" width="8.375" style="188" customWidth="1"/>
    <col min="11010" max="11010" width="13" style="188" bestFit="1" customWidth="1"/>
    <col min="11011" max="11011" width="15.875" style="188" bestFit="1" customWidth="1"/>
    <col min="11012" max="11012" width="25.625" style="188" customWidth="1"/>
    <col min="11013" max="11013" width="48.75" style="188" customWidth="1"/>
    <col min="11014" max="11015" width="10.5" style="188" bestFit="1" customWidth="1"/>
    <col min="11016" max="11017" width="9.75" style="188" bestFit="1" customWidth="1"/>
    <col min="11018" max="11264" width="9" style="188"/>
    <col min="11265" max="11265" width="8.375" style="188" customWidth="1"/>
    <col min="11266" max="11266" width="13" style="188" bestFit="1" customWidth="1"/>
    <col min="11267" max="11267" width="15.875" style="188" bestFit="1" customWidth="1"/>
    <col min="11268" max="11268" width="25.625" style="188" customWidth="1"/>
    <col min="11269" max="11269" width="48.75" style="188" customWidth="1"/>
    <col min="11270" max="11271" width="10.5" style="188" bestFit="1" customWidth="1"/>
    <col min="11272" max="11273" width="9.75" style="188" bestFit="1" customWidth="1"/>
    <col min="11274" max="11520" width="9" style="188"/>
    <col min="11521" max="11521" width="8.375" style="188" customWidth="1"/>
    <col min="11522" max="11522" width="13" style="188" bestFit="1" customWidth="1"/>
    <col min="11523" max="11523" width="15.875" style="188" bestFit="1" customWidth="1"/>
    <col min="11524" max="11524" width="25.625" style="188" customWidth="1"/>
    <col min="11525" max="11525" width="48.75" style="188" customWidth="1"/>
    <col min="11526" max="11527" width="10.5" style="188" bestFit="1" customWidth="1"/>
    <col min="11528" max="11529" width="9.75" style="188" bestFit="1" customWidth="1"/>
    <col min="11530" max="11776" width="9" style="188"/>
    <col min="11777" max="11777" width="8.375" style="188" customWidth="1"/>
    <col min="11778" max="11778" width="13" style="188" bestFit="1" customWidth="1"/>
    <col min="11779" max="11779" width="15.875" style="188" bestFit="1" customWidth="1"/>
    <col min="11780" max="11780" width="25.625" style="188" customWidth="1"/>
    <col min="11781" max="11781" width="48.75" style="188" customWidth="1"/>
    <col min="11782" max="11783" width="10.5" style="188" bestFit="1" customWidth="1"/>
    <col min="11784" max="11785" width="9.75" style="188" bestFit="1" customWidth="1"/>
    <col min="11786" max="12032" width="9" style="188"/>
    <col min="12033" max="12033" width="8.375" style="188" customWidth="1"/>
    <col min="12034" max="12034" width="13" style="188" bestFit="1" customWidth="1"/>
    <col min="12035" max="12035" width="15.875" style="188" bestFit="1" customWidth="1"/>
    <col min="12036" max="12036" width="25.625" style="188" customWidth="1"/>
    <col min="12037" max="12037" width="48.75" style="188" customWidth="1"/>
    <col min="12038" max="12039" width="10.5" style="188" bestFit="1" customWidth="1"/>
    <col min="12040" max="12041" width="9.75" style="188" bestFit="1" customWidth="1"/>
    <col min="12042" max="12288" width="9" style="188"/>
    <col min="12289" max="12289" width="8.375" style="188" customWidth="1"/>
    <col min="12290" max="12290" width="13" style="188" bestFit="1" customWidth="1"/>
    <col min="12291" max="12291" width="15.875" style="188" bestFit="1" customWidth="1"/>
    <col min="12292" max="12292" width="25.625" style="188" customWidth="1"/>
    <col min="12293" max="12293" width="48.75" style="188" customWidth="1"/>
    <col min="12294" max="12295" width="10.5" style="188" bestFit="1" customWidth="1"/>
    <col min="12296" max="12297" width="9.75" style="188" bestFit="1" customWidth="1"/>
    <col min="12298" max="12544" width="9" style="188"/>
    <col min="12545" max="12545" width="8.375" style="188" customWidth="1"/>
    <col min="12546" max="12546" width="13" style="188" bestFit="1" customWidth="1"/>
    <col min="12547" max="12547" width="15.875" style="188" bestFit="1" customWidth="1"/>
    <col min="12548" max="12548" width="25.625" style="188" customWidth="1"/>
    <col min="12549" max="12549" width="48.75" style="188" customWidth="1"/>
    <col min="12550" max="12551" width="10.5" style="188" bestFit="1" customWidth="1"/>
    <col min="12552" max="12553" width="9.75" style="188" bestFit="1" customWidth="1"/>
    <col min="12554" max="12800" width="9" style="188"/>
    <col min="12801" max="12801" width="8.375" style="188" customWidth="1"/>
    <col min="12802" max="12802" width="13" style="188" bestFit="1" customWidth="1"/>
    <col min="12803" max="12803" width="15.875" style="188" bestFit="1" customWidth="1"/>
    <col min="12804" max="12804" width="25.625" style="188" customWidth="1"/>
    <col min="12805" max="12805" width="48.75" style="188" customWidth="1"/>
    <col min="12806" max="12807" width="10.5" style="188" bestFit="1" customWidth="1"/>
    <col min="12808" max="12809" width="9.75" style="188" bestFit="1" customWidth="1"/>
    <col min="12810" max="13056" width="9" style="188"/>
    <col min="13057" max="13057" width="8.375" style="188" customWidth="1"/>
    <col min="13058" max="13058" width="13" style="188" bestFit="1" customWidth="1"/>
    <col min="13059" max="13059" width="15.875" style="188" bestFit="1" customWidth="1"/>
    <col min="13060" max="13060" width="25.625" style="188" customWidth="1"/>
    <col min="13061" max="13061" width="48.75" style="188" customWidth="1"/>
    <col min="13062" max="13063" width="10.5" style="188" bestFit="1" customWidth="1"/>
    <col min="13064" max="13065" width="9.75" style="188" bestFit="1" customWidth="1"/>
    <col min="13066" max="13312" width="9" style="188"/>
    <col min="13313" max="13313" width="8.375" style="188" customWidth="1"/>
    <col min="13314" max="13314" width="13" style="188" bestFit="1" customWidth="1"/>
    <col min="13315" max="13315" width="15.875" style="188" bestFit="1" customWidth="1"/>
    <col min="13316" max="13316" width="25.625" style="188" customWidth="1"/>
    <col min="13317" max="13317" width="48.75" style="188" customWidth="1"/>
    <col min="13318" max="13319" width="10.5" style="188" bestFit="1" customWidth="1"/>
    <col min="13320" max="13321" width="9.75" style="188" bestFit="1" customWidth="1"/>
    <col min="13322" max="13568" width="9" style="188"/>
    <col min="13569" max="13569" width="8.375" style="188" customWidth="1"/>
    <col min="13570" max="13570" width="13" style="188" bestFit="1" customWidth="1"/>
    <col min="13571" max="13571" width="15.875" style="188" bestFit="1" customWidth="1"/>
    <col min="13572" max="13572" width="25.625" style="188" customWidth="1"/>
    <col min="13573" max="13573" width="48.75" style="188" customWidth="1"/>
    <col min="13574" max="13575" width="10.5" style="188" bestFit="1" customWidth="1"/>
    <col min="13576" max="13577" width="9.75" style="188" bestFit="1" customWidth="1"/>
    <col min="13578" max="13824" width="9" style="188"/>
    <col min="13825" max="13825" width="8.375" style="188" customWidth="1"/>
    <col min="13826" max="13826" width="13" style="188" bestFit="1" customWidth="1"/>
    <col min="13827" max="13827" width="15.875" style="188" bestFit="1" customWidth="1"/>
    <col min="13828" max="13828" width="25.625" style="188" customWidth="1"/>
    <col min="13829" max="13829" width="48.75" style="188" customWidth="1"/>
    <col min="13830" max="13831" width="10.5" style="188" bestFit="1" customWidth="1"/>
    <col min="13832" max="13833" width="9.75" style="188" bestFit="1" customWidth="1"/>
    <col min="13834" max="14080" width="9" style="188"/>
    <col min="14081" max="14081" width="8.375" style="188" customWidth="1"/>
    <col min="14082" max="14082" width="13" style="188" bestFit="1" customWidth="1"/>
    <col min="14083" max="14083" width="15.875" style="188" bestFit="1" customWidth="1"/>
    <col min="14084" max="14084" width="25.625" style="188" customWidth="1"/>
    <col min="14085" max="14085" width="48.75" style="188" customWidth="1"/>
    <col min="14086" max="14087" width="10.5" style="188" bestFit="1" customWidth="1"/>
    <col min="14088" max="14089" width="9.75" style="188" bestFit="1" customWidth="1"/>
    <col min="14090" max="14336" width="9" style="188"/>
    <col min="14337" max="14337" width="8.375" style="188" customWidth="1"/>
    <col min="14338" max="14338" width="13" style="188" bestFit="1" customWidth="1"/>
    <col min="14339" max="14339" width="15.875" style="188" bestFit="1" customWidth="1"/>
    <col min="14340" max="14340" width="25.625" style="188" customWidth="1"/>
    <col min="14341" max="14341" width="48.75" style="188" customWidth="1"/>
    <col min="14342" max="14343" width="10.5" style="188" bestFit="1" customWidth="1"/>
    <col min="14344" max="14345" width="9.75" style="188" bestFit="1" customWidth="1"/>
    <col min="14346" max="14592" width="9" style="188"/>
    <col min="14593" max="14593" width="8.375" style="188" customWidth="1"/>
    <col min="14594" max="14594" width="13" style="188" bestFit="1" customWidth="1"/>
    <col min="14595" max="14595" width="15.875" style="188" bestFit="1" customWidth="1"/>
    <col min="14596" max="14596" width="25.625" style="188" customWidth="1"/>
    <col min="14597" max="14597" width="48.75" style="188" customWidth="1"/>
    <col min="14598" max="14599" width="10.5" style="188" bestFit="1" customWidth="1"/>
    <col min="14600" max="14601" width="9.75" style="188" bestFit="1" customWidth="1"/>
    <col min="14602" max="14848" width="9" style="188"/>
    <col min="14849" max="14849" width="8.375" style="188" customWidth="1"/>
    <col min="14850" max="14850" width="13" style="188" bestFit="1" customWidth="1"/>
    <col min="14851" max="14851" width="15.875" style="188" bestFit="1" customWidth="1"/>
    <col min="14852" max="14852" width="25.625" style="188" customWidth="1"/>
    <col min="14853" max="14853" width="48.75" style="188" customWidth="1"/>
    <col min="14854" max="14855" width="10.5" style="188" bestFit="1" customWidth="1"/>
    <col min="14856" max="14857" width="9.75" style="188" bestFit="1" customWidth="1"/>
    <col min="14858" max="15104" width="9" style="188"/>
    <col min="15105" max="15105" width="8.375" style="188" customWidth="1"/>
    <col min="15106" max="15106" width="13" style="188" bestFit="1" customWidth="1"/>
    <col min="15107" max="15107" width="15.875" style="188" bestFit="1" customWidth="1"/>
    <col min="15108" max="15108" width="25.625" style="188" customWidth="1"/>
    <col min="15109" max="15109" width="48.75" style="188" customWidth="1"/>
    <col min="15110" max="15111" width="10.5" style="188" bestFit="1" customWidth="1"/>
    <col min="15112" max="15113" width="9.75" style="188" bestFit="1" customWidth="1"/>
    <col min="15114" max="15360" width="9" style="188"/>
    <col min="15361" max="15361" width="8.375" style="188" customWidth="1"/>
    <col min="15362" max="15362" width="13" style="188" bestFit="1" customWidth="1"/>
    <col min="15363" max="15363" width="15.875" style="188" bestFit="1" customWidth="1"/>
    <col min="15364" max="15364" width="25.625" style="188" customWidth="1"/>
    <col min="15365" max="15365" width="48.75" style="188" customWidth="1"/>
    <col min="15366" max="15367" width="10.5" style="188" bestFit="1" customWidth="1"/>
    <col min="15368" max="15369" width="9.75" style="188" bestFit="1" customWidth="1"/>
    <col min="15370" max="15616" width="9" style="188"/>
    <col min="15617" max="15617" width="8.375" style="188" customWidth="1"/>
    <col min="15618" max="15618" width="13" style="188" bestFit="1" customWidth="1"/>
    <col min="15619" max="15619" width="15.875" style="188" bestFit="1" customWidth="1"/>
    <col min="15620" max="15620" width="25.625" style="188" customWidth="1"/>
    <col min="15621" max="15621" width="48.75" style="188" customWidth="1"/>
    <col min="15622" max="15623" width="10.5" style="188" bestFit="1" customWidth="1"/>
    <col min="15624" max="15625" width="9.75" style="188" bestFit="1" customWidth="1"/>
    <col min="15626" max="15872" width="9" style="188"/>
    <col min="15873" max="15873" width="8.375" style="188" customWidth="1"/>
    <col min="15874" max="15874" width="13" style="188" bestFit="1" customWidth="1"/>
    <col min="15875" max="15875" width="15.875" style="188" bestFit="1" customWidth="1"/>
    <col min="15876" max="15876" width="25.625" style="188" customWidth="1"/>
    <col min="15877" max="15877" width="48.75" style="188" customWidth="1"/>
    <col min="15878" max="15879" width="10.5" style="188" bestFit="1" customWidth="1"/>
    <col min="15880" max="15881" width="9.75" style="188" bestFit="1" customWidth="1"/>
    <col min="15882" max="16128" width="9" style="188"/>
    <col min="16129" max="16129" width="8.375" style="188" customWidth="1"/>
    <col min="16130" max="16130" width="13" style="188" bestFit="1" customWidth="1"/>
    <col min="16131" max="16131" width="15.875" style="188" bestFit="1" customWidth="1"/>
    <col min="16132" max="16132" width="25.625" style="188" customWidth="1"/>
    <col min="16133" max="16133" width="48.75" style="188" customWidth="1"/>
    <col min="16134" max="16135" width="10.5" style="188" bestFit="1" customWidth="1"/>
    <col min="16136" max="16137" width="9.75" style="188" bestFit="1" customWidth="1"/>
    <col min="16138" max="16384" width="9" style="188"/>
  </cols>
  <sheetData>
    <row r="1" spans="1:9" s="174" customFormat="1" ht="26.25" x14ac:dyDescent="0.2">
      <c r="A1" s="636" t="s">
        <v>1622</v>
      </c>
      <c r="B1" s="636"/>
      <c r="C1" s="636"/>
      <c r="D1" s="636"/>
      <c r="E1" s="636"/>
      <c r="F1" s="636"/>
      <c r="G1" s="636"/>
      <c r="H1" s="636"/>
      <c r="I1" s="636"/>
    </row>
    <row r="2" spans="1:9" s="174" customFormat="1" x14ac:dyDescent="0.2">
      <c r="A2" s="175"/>
      <c r="B2" s="175"/>
      <c r="C2" s="175"/>
      <c r="D2" s="175"/>
      <c r="E2" s="176"/>
      <c r="F2" s="175"/>
      <c r="G2" s="175"/>
      <c r="H2" s="175"/>
      <c r="I2" s="175"/>
    </row>
    <row r="3" spans="1:9" s="177" customFormat="1" x14ac:dyDescent="0.2">
      <c r="A3" s="635" t="s">
        <v>1</v>
      </c>
      <c r="B3" s="635" t="s">
        <v>2</v>
      </c>
      <c r="C3" s="635" t="s">
        <v>789</v>
      </c>
      <c r="D3" s="633" t="s">
        <v>3</v>
      </c>
      <c r="E3" s="633" t="s">
        <v>90</v>
      </c>
      <c r="F3" s="633" t="s">
        <v>4</v>
      </c>
      <c r="G3" s="634" t="s">
        <v>5</v>
      </c>
      <c r="H3" s="634"/>
      <c r="I3" s="634"/>
    </row>
    <row r="4" spans="1:9" s="177" customFormat="1" x14ac:dyDescent="0.2">
      <c r="A4" s="635"/>
      <c r="B4" s="635"/>
      <c r="C4" s="635"/>
      <c r="D4" s="633"/>
      <c r="E4" s="633"/>
      <c r="F4" s="633"/>
      <c r="G4" s="178" t="s">
        <v>8</v>
      </c>
      <c r="H4" s="178" t="s">
        <v>9</v>
      </c>
      <c r="I4" s="178" t="s">
        <v>3</v>
      </c>
    </row>
    <row r="5" spans="1:9" s="174" customFormat="1" ht="105" x14ac:dyDescent="0.2">
      <c r="A5" s="179">
        <v>240255</v>
      </c>
      <c r="B5" s="180" t="s">
        <v>803</v>
      </c>
      <c r="C5" s="181" t="s">
        <v>804</v>
      </c>
      <c r="D5" s="180" t="s">
        <v>792</v>
      </c>
      <c r="E5" s="182" t="s">
        <v>805</v>
      </c>
      <c r="F5" s="183">
        <f>25000+24000+25000+23000+10000+10000+25000+25000+25000+25000+25000+25000+25000+10000+25000+25000+25000+25000+10000+10000+25000+25000+25000+25000+15000+25000+10000+25000+15000+25000+25000+25000+25000+25000+10000</f>
        <v>747000</v>
      </c>
      <c r="G5" s="183">
        <f t="shared" ref="G5:G6" si="0">+F5*90/100</f>
        <v>672300</v>
      </c>
      <c r="H5" s="183">
        <f t="shared" ref="H5:H6" si="1">+F5*5/100</f>
        <v>37350</v>
      </c>
      <c r="I5" s="183">
        <f t="shared" ref="I5:I6" si="2">+F5*5/100</f>
        <v>37350</v>
      </c>
    </row>
    <row r="6" spans="1:9" s="174" customFormat="1" ht="84" x14ac:dyDescent="0.2">
      <c r="A6" s="179">
        <v>240290</v>
      </c>
      <c r="B6" s="180" t="s">
        <v>806</v>
      </c>
      <c r="C6" s="181" t="s">
        <v>807</v>
      </c>
      <c r="D6" s="180" t="s">
        <v>792</v>
      </c>
      <c r="E6" s="182" t="s">
        <v>808</v>
      </c>
      <c r="F6" s="183">
        <v>25000</v>
      </c>
      <c r="G6" s="183">
        <f t="shared" si="0"/>
        <v>22500</v>
      </c>
      <c r="H6" s="183">
        <f t="shared" si="1"/>
        <v>1250</v>
      </c>
      <c r="I6" s="183">
        <f t="shared" si="2"/>
        <v>1250</v>
      </c>
    </row>
    <row r="7" spans="1:9" s="174" customFormat="1" ht="84" x14ac:dyDescent="0.2">
      <c r="A7" s="179">
        <v>240303</v>
      </c>
      <c r="B7" s="180" t="s">
        <v>809</v>
      </c>
      <c r="C7" s="181" t="s">
        <v>810</v>
      </c>
      <c r="D7" s="180" t="s">
        <v>811</v>
      </c>
      <c r="E7" s="182" t="s">
        <v>812</v>
      </c>
      <c r="F7" s="183">
        <v>350000</v>
      </c>
      <c r="G7" s="183">
        <f>+F7*1</f>
        <v>350000</v>
      </c>
      <c r="H7" s="183">
        <v>0</v>
      </c>
      <c r="I7" s="183">
        <v>0</v>
      </c>
    </row>
    <row r="8" spans="1:9" s="174" customFormat="1" ht="63" x14ac:dyDescent="0.2">
      <c r="A8" s="179">
        <v>240344</v>
      </c>
      <c r="B8" s="180" t="s">
        <v>813</v>
      </c>
      <c r="C8" s="181" t="s">
        <v>814</v>
      </c>
      <c r="D8" s="180" t="s">
        <v>22</v>
      </c>
      <c r="E8" s="182" t="s">
        <v>815</v>
      </c>
      <c r="F8" s="183">
        <v>175800</v>
      </c>
      <c r="G8" s="183">
        <v>145800</v>
      </c>
      <c r="H8" s="183">
        <v>15000</v>
      </c>
      <c r="I8" s="183">
        <v>15000</v>
      </c>
    </row>
    <row r="9" spans="1:9" s="174" customFormat="1" ht="84" x14ac:dyDescent="0.2">
      <c r="A9" s="179">
        <v>240364</v>
      </c>
      <c r="B9" s="180" t="s">
        <v>816</v>
      </c>
      <c r="C9" s="181" t="s">
        <v>817</v>
      </c>
      <c r="D9" s="180" t="s">
        <v>22</v>
      </c>
      <c r="E9" s="182" t="s">
        <v>818</v>
      </c>
      <c r="F9" s="183">
        <v>50000</v>
      </c>
      <c r="G9" s="183">
        <f>+F9</f>
        <v>50000</v>
      </c>
      <c r="H9" s="183">
        <v>0</v>
      </c>
      <c r="I9" s="183">
        <v>0</v>
      </c>
    </row>
    <row r="10" spans="1:9" s="174" customFormat="1" ht="84" x14ac:dyDescent="0.2">
      <c r="A10" s="179">
        <v>240424</v>
      </c>
      <c r="B10" s="180" t="s">
        <v>819</v>
      </c>
      <c r="C10" s="181" t="s">
        <v>820</v>
      </c>
      <c r="D10" s="180" t="s">
        <v>792</v>
      </c>
      <c r="E10" s="182" t="s">
        <v>821</v>
      </c>
      <c r="F10" s="183">
        <v>15000</v>
      </c>
      <c r="G10" s="183">
        <f>+F10*90/100</f>
        <v>13500</v>
      </c>
      <c r="H10" s="183">
        <f>+F10*5/100</f>
        <v>750</v>
      </c>
      <c r="I10" s="183">
        <f>+F10*5/100</f>
        <v>750</v>
      </c>
    </row>
    <row r="11" spans="1:9" s="174" customFormat="1" ht="84" x14ac:dyDescent="0.2">
      <c r="A11" s="179">
        <v>240409</v>
      </c>
      <c r="B11" s="180" t="s">
        <v>822</v>
      </c>
      <c r="C11" s="181" t="s">
        <v>823</v>
      </c>
      <c r="D11" s="180" t="s">
        <v>22</v>
      </c>
      <c r="E11" s="182" t="s">
        <v>824</v>
      </c>
      <c r="F11" s="183">
        <v>523608</v>
      </c>
      <c r="G11" s="183">
        <v>0</v>
      </c>
      <c r="H11" s="183">
        <f>+F11*25/100</f>
        <v>130902</v>
      </c>
      <c r="I11" s="183">
        <f>+F11*75/100</f>
        <v>392706</v>
      </c>
    </row>
    <row r="12" spans="1:9" s="174" customFormat="1" ht="105" x14ac:dyDescent="0.2">
      <c r="A12" s="179">
        <v>240484</v>
      </c>
      <c r="B12" s="180" t="s">
        <v>825</v>
      </c>
      <c r="C12" s="181" t="s">
        <v>826</v>
      </c>
      <c r="D12" s="180" t="s">
        <v>22</v>
      </c>
      <c r="E12" s="182" t="s">
        <v>827</v>
      </c>
      <c r="F12" s="183">
        <v>2400000</v>
      </c>
      <c r="G12" s="183">
        <f t="shared" ref="G12:G18" si="3">+F12*90/100</f>
        <v>2160000</v>
      </c>
      <c r="H12" s="183">
        <f>+F12*10/100-120000</f>
        <v>120000</v>
      </c>
      <c r="I12" s="183">
        <v>120000</v>
      </c>
    </row>
    <row r="13" spans="1:9" s="174" customFormat="1" ht="84" x14ac:dyDescent="0.2">
      <c r="A13" s="179">
        <v>240493</v>
      </c>
      <c r="B13" s="180" t="s">
        <v>822</v>
      </c>
      <c r="C13" s="181" t="s">
        <v>828</v>
      </c>
      <c r="D13" s="180" t="s">
        <v>19</v>
      </c>
      <c r="E13" s="182" t="s">
        <v>829</v>
      </c>
      <c r="F13" s="183">
        <v>42750</v>
      </c>
      <c r="G13" s="183">
        <f t="shared" si="3"/>
        <v>38475</v>
      </c>
      <c r="H13" s="183">
        <f t="shared" ref="H13:H18" si="4">+F13*5/100</f>
        <v>2137.5</v>
      </c>
      <c r="I13" s="183">
        <f t="shared" ref="I13:I18" si="5">+F13*5/100</f>
        <v>2137.5</v>
      </c>
    </row>
    <row r="14" spans="1:9" s="174" customFormat="1" ht="63" x14ac:dyDescent="0.2">
      <c r="A14" s="179">
        <v>240589</v>
      </c>
      <c r="B14" s="180" t="s">
        <v>830</v>
      </c>
      <c r="C14" s="181" t="s">
        <v>831</v>
      </c>
      <c r="D14" s="180" t="s">
        <v>792</v>
      </c>
      <c r="E14" s="182" t="s">
        <v>832</v>
      </c>
      <c r="F14" s="183">
        <v>100000</v>
      </c>
      <c r="G14" s="183">
        <f t="shared" si="3"/>
        <v>90000</v>
      </c>
      <c r="H14" s="183">
        <f t="shared" si="4"/>
        <v>5000</v>
      </c>
      <c r="I14" s="183">
        <f t="shared" si="5"/>
        <v>5000</v>
      </c>
    </row>
    <row r="15" spans="1:9" s="174" customFormat="1" ht="84" x14ac:dyDescent="0.2">
      <c r="A15" s="179">
        <v>240595</v>
      </c>
      <c r="B15" s="180" t="s">
        <v>833</v>
      </c>
      <c r="C15" s="181" t="s">
        <v>834</v>
      </c>
      <c r="D15" s="180" t="s">
        <v>792</v>
      </c>
      <c r="E15" s="182" t="s">
        <v>835</v>
      </c>
      <c r="F15" s="183">
        <v>10000</v>
      </c>
      <c r="G15" s="183">
        <f t="shared" si="3"/>
        <v>9000</v>
      </c>
      <c r="H15" s="183">
        <f t="shared" si="4"/>
        <v>500</v>
      </c>
      <c r="I15" s="183">
        <f t="shared" si="5"/>
        <v>500</v>
      </c>
    </row>
    <row r="16" spans="1:9" s="174" customFormat="1" ht="84" x14ac:dyDescent="0.2">
      <c r="A16" s="179">
        <v>240595</v>
      </c>
      <c r="B16" s="180" t="s">
        <v>836</v>
      </c>
      <c r="C16" s="181" t="s">
        <v>837</v>
      </c>
      <c r="D16" s="180" t="s">
        <v>792</v>
      </c>
      <c r="E16" s="182" t="s">
        <v>838</v>
      </c>
      <c r="F16" s="183">
        <v>105000</v>
      </c>
      <c r="G16" s="183">
        <f t="shared" si="3"/>
        <v>94500</v>
      </c>
      <c r="H16" s="183">
        <f t="shared" si="4"/>
        <v>5250</v>
      </c>
      <c r="I16" s="183">
        <f t="shared" si="5"/>
        <v>5250</v>
      </c>
    </row>
    <row r="17" spans="1:9" s="174" customFormat="1" ht="84" x14ac:dyDescent="0.2">
      <c r="A17" s="179">
        <v>240598</v>
      </c>
      <c r="B17" s="180" t="s">
        <v>839</v>
      </c>
      <c r="C17" s="181" t="s">
        <v>840</v>
      </c>
      <c r="D17" s="180" t="s">
        <v>19</v>
      </c>
      <c r="E17" s="182" t="s">
        <v>841</v>
      </c>
      <c r="F17" s="183">
        <v>57000</v>
      </c>
      <c r="G17" s="183">
        <f t="shared" si="3"/>
        <v>51300</v>
      </c>
      <c r="H17" s="183">
        <f t="shared" si="4"/>
        <v>2850</v>
      </c>
      <c r="I17" s="183">
        <f t="shared" si="5"/>
        <v>2850</v>
      </c>
    </row>
    <row r="18" spans="1:9" s="174" customFormat="1" ht="84" x14ac:dyDescent="0.2">
      <c r="A18" s="179">
        <v>240598</v>
      </c>
      <c r="B18" s="180" t="s">
        <v>842</v>
      </c>
      <c r="C18" s="184" t="s">
        <v>843</v>
      </c>
      <c r="D18" s="180" t="s">
        <v>844</v>
      </c>
      <c r="E18" s="185" t="s">
        <v>845</v>
      </c>
      <c r="F18" s="183">
        <v>210000</v>
      </c>
      <c r="G18" s="183">
        <f t="shared" si="3"/>
        <v>189000</v>
      </c>
      <c r="H18" s="183">
        <f t="shared" si="4"/>
        <v>10500</v>
      </c>
      <c r="I18" s="183">
        <f t="shared" si="5"/>
        <v>10500</v>
      </c>
    </row>
    <row r="19" spans="1:9" ht="21.75" thickBot="1" x14ac:dyDescent="0.25">
      <c r="A19" s="196"/>
      <c r="B19" s="196"/>
      <c r="C19" s="196"/>
      <c r="D19" s="196"/>
      <c r="E19" s="197"/>
      <c r="F19" s="198">
        <f>SUM(F5:F18)</f>
        <v>4811158</v>
      </c>
      <c r="G19" s="198">
        <f>SUM(G5:G18)</f>
        <v>3886375</v>
      </c>
      <c r="H19" s="198">
        <f>SUM(H5:H18)</f>
        <v>331489.5</v>
      </c>
      <c r="I19" s="198">
        <f>SUM(I5:I18)</f>
        <v>593293.5</v>
      </c>
    </row>
    <row r="20" spans="1:9" ht="21.75" thickTop="1" x14ac:dyDescent="0.2">
      <c r="I20" s="200">
        <f>+F19-G19-H19-I19</f>
        <v>0</v>
      </c>
    </row>
    <row r="22" spans="1:9" x14ac:dyDescent="0.2">
      <c r="B22" s="201" t="s">
        <v>85</v>
      </c>
      <c r="C22" s="188" t="s">
        <v>86</v>
      </c>
      <c r="D22" s="188"/>
      <c r="E22" s="202"/>
    </row>
    <row r="23" spans="1:9" x14ac:dyDescent="0.2">
      <c r="B23" s="201" t="s">
        <v>3</v>
      </c>
      <c r="C23" s="188" t="s">
        <v>87</v>
      </c>
      <c r="D23" s="188"/>
      <c r="E23" s="202"/>
    </row>
    <row r="24" spans="1:9" x14ac:dyDescent="0.2">
      <c r="B24" s="201" t="s">
        <v>88</v>
      </c>
      <c r="C24" s="188" t="s">
        <v>89</v>
      </c>
      <c r="D24" s="188"/>
      <c r="E24" s="202"/>
    </row>
    <row r="25" spans="1:9" x14ac:dyDescent="0.2">
      <c r="B25" s="201" t="s">
        <v>90</v>
      </c>
      <c r="C25" s="188" t="s">
        <v>91</v>
      </c>
      <c r="D25" s="188"/>
      <c r="E25" s="202"/>
    </row>
    <row r="26" spans="1:9" s="177" customFormat="1" x14ac:dyDescent="0.2">
      <c r="A26" s="174"/>
      <c r="B26" s="201" t="s">
        <v>92</v>
      </c>
      <c r="C26" s="203" t="s">
        <v>93</v>
      </c>
      <c r="E26" s="204"/>
      <c r="F26" s="200"/>
      <c r="G26" s="200"/>
      <c r="H26" s="200"/>
      <c r="I26" s="200"/>
    </row>
  </sheetData>
  <mergeCells count="8">
    <mergeCell ref="A1:I1"/>
    <mergeCell ref="A3:A4"/>
    <mergeCell ref="B3:B4"/>
    <mergeCell ref="C3:C4"/>
    <mergeCell ref="D3:D4"/>
    <mergeCell ref="E3:E4"/>
    <mergeCell ref="F3:F4"/>
    <mergeCell ref="G3:I3"/>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workbookViewId="0">
      <selection activeCell="A3" sqref="A3:I3"/>
    </sheetView>
  </sheetViews>
  <sheetFormatPr defaultRowHeight="21" x14ac:dyDescent="0.2"/>
  <cols>
    <col min="1" max="1" width="8.375" style="174" customWidth="1"/>
    <col min="2" max="2" width="13" style="174" bestFit="1" customWidth="1"/>
    <col min="3" max="3" width="15.875" style="174" bestFit="1" customWidth="1"/>
    <col min="4" max="4" width="25.625" style="174" customWidth="1"/>
    <col min="5" max="5" width="48.75" style="199" customWidth="1"/>
    <col min="6" max="7" width="10.5" style="200" bestFit="1" customWidth="1"/>
    <col min="8" max="9" width="9.75" style="200" bestFit="1" customWidth="1"/>
    <col min="10" max="256" width="9" style="188"/>
    <col min="257" max="257" width="8.375" style="188" customWidth="1"/>
    <col min="258" max="258" width="13" style="188" bestFit="1" customWidth="1"/>
    <col min="259" max="259" width="15.875" style="188" bestFit="1" customWidth="1"/>
    <col min="260" max="260" width="25.625" style="188" customWidth="1"/>
    <col min="261" max="261" width="48.75" style="188" customWidth="1"/>
    <col min="262" max="263" width="10.5" style="188" bestFit="1" customWidth="1"/>
    <col min="264" max="265" width="9.75" style="188" bestFit="1" customWidth="1"/>
    <col min="266" max="512" width="9" style="188"/>
    <col min="513" max="513" width="8.375" style="188" customWidth="1"/>
    <col min="514" max="514" width="13" style="188" bestFit="1" customWidth="1"/>
    <col min="515" max="515" width="15.875" style="188" bestFit="1" customWidth="1"/>
    <col min="516" max="516" width="25.625" style="188" customWidth="1"/>
    <col min="517" max="517" width="48.75" style="188" customWidth="1"/>
    <col min="518" max="519" width="10.5" style="188" bestFit="1" customWidth="1"/>
    <col min="520" max="521" width="9.75" style="188" bestFit="1" customWidth="1"/>
    <col min="522" max="768" width="9" style="188"/>
    <col min="769" max="769" width="8.375" style="188" customWidth="1"/>
    <col min="770" max="770" width="13" style="188" bestFit="1" customWidth="1"/>
    <col min="771" max="771" width="15.875" style="188" bestFit="1" customWidth="1"/>
    <col min="772" max="772" width="25.625" style="188" customWidth="1"/>
    <col min="773" max="773" width="48.75" style="188" customWidth="1"/>
    <col min="774" max="775" width="10.5" style="188" bestFit="1" customWidth="1"/>
    <col min="776" max="777" width="9.75" style="188" bestFit="1" customWidth="1"/>
    <col min="778" max="1024" width="9" style="188"/>
    <col min="1025" max="1025" width="8.375" style="188" customWidth="1"/>
    <col min="1026" max="1026" width="13" style="188" bestFit="1" customWidth="1"/>
    <col min="1027" max="1027" width="15.875" style="188" bestFit="1" customWidth="1"/>
    <col min="1028" max="1028" width="25.625" style="188" customWidth="1"/>
    <col min="1029" max="1029" width="48.75" style="188" customWidth="1"/>
    <col min="1030" max="1031" width="10.5" style="188" bestFit="1" customWidth="1"/>
    <col min="1032" max="1033" width="9.75" style="188" bestFit="1" customWidth="1"/>
    <col min="1034" max="1280" width="9" style="188"/>
    <col min="1281" max="1281" width="8.375" style="188" customWidth="1"/>
    <col min="1282" max="1282" width="13" style="188" bestFit="1" customWidth="1"/>
    <col min="1283" max="1283" width="15.875" style="188" bestFit="1" customWidth="1"/>
    <col min="1284" max="1284" width="25.625" style="188" customWidth="1"/>
    <col min="1285" max="1285" width="48.75" style="188" customWidth="1"/>
    <col min="1286" max="1287" width="10.5" style="188" bestFit="1" customWidth="1"/>
    <col min="1288" max="1289" width="9.75" style="188" bestFit="1" customWidth="1"/>
    <col min="1290" max="1536" width="9" style="188"/>
    <col min="1537" max="1537" width="8.375" style="188" customWidth="1"/>
    <col min="1538" max="1538" width="13" style="188" bestFit="1" customWidth="1"/>
    <col min="1539" max="1539" width="15.875" style="188" bestFit="1" customWidth="1"/>
    <col min="1540" max="1540" width="25.625" style="188" customWidth="1"/>
    <col min="1541" max="1541" width="48.75" style="188" customWidth="1"/>
    <col min="1542" max="1543" width="10.5" style="188" bestFit="1" customWidth="1"/>
    <col min="1544" max="1545" width="9.75" style="188" bestFit="1" customWidth="1"/>
    <col min="1546" max="1792" width="9" style="188"/>
    <col min="1793" max="1793" width="8.375" style="188" customWidth="1"/>
    <col min="1794" max="1794" width="13" style="188" bestFit="1" customWidth="1"/>
    <col min="1795" max="1795" width="15.875" style="188" bestFit="1" customWidth="1"/>
    <col min="1796" max="1796" width="25.625" style="188" customWidth="1"/>
    <col min="1797" max="1797" width="48.75" style="188" customWidth="1"/>
    <col min="1798" max="1799" width="10.5" style="188" bestFit="1" customWidth="1"/>
    <col min="1800" max="1801" width="9.75" style="188" bestFit="1" customWidth="1"/>
    <col min="1802" max="2048" width="9" style="188"/>
    <col min="2049" max="2049" width="8.375" style="188" customWidth="1"/>
    <col min="2050" max="2050" width="13" style="188" bestFit="1" customWidth="1"/>
    <col min="2051" max="2051" width="15.875" style="188" bestFit="1" customWidth="1"/>
    <col min="2052" max="2052" width="25.625" style="188" customWidth="1"/>
    <col min="2053" max="2053" width="48.75" style="188" customWidth="1"/>
    <col min="2054" max="2055" width="10.5" style="188" bestFit="1" customWidth="1"/>
    <col min="2056" max="2057" width="9.75" style="188" bestFit="1" customWidth="1"/>
    <col min="2058" max="2304" width="9" style="188"/>
    <col min="2305" max="2305" width="8.375" style="188" customWidth="1"/>
    <col min="2306" max="2306" width="13" style="188" bestFit="1" customWidth="1"/>
    <col min="2307" max="2307" width="15.875" style="188" bestFit="1" customWidth="1"/>
    <col min="2308" max="2308" width="25.625" style="188" customWidth="1"/>
    <col min="2309" max="2309" width="48.75" style="188" customWidth="1"/>
    <col min="2310" max="2311" width="10.5" style="188" bestFit="1" customWidth="1"/>
    <col min="2312" max="2313" width="9.75" style="188" bestFit="1" customWidth="1"/>
    <col min="2314" max="2560" width="9" style="188"/>
    <col min="2561" max="2561" width="8.375" style="188" customWidth="1"/>
    <col min="2562" max="2562" width="13" style="188" bestFit="1" customWidth="1"/>
    <col min="2563" max="2563" width="15.875" style="188" bestFit="1" customWidth="1"/>
    <col min="2564" max="2564" width="25.625" style="188" customWidth="1"/>
    <col min="2565" max="2565" width="48.75" style="188" customWidth="1"/>
    <col min="2566" max="2567" width="10.5" style="188" bestFit="1" customWidth="1"/>
    <col min="2568" max="2569" width="9.75" style="188" bestFit="1" customWidth="1"/>
    <col min="2570" max="2816" width="9" style="188"/>
    <col min="2817" max="2817" width="8.375" style="188" customWidth="1"/>
    <col min="2818" max="2818" width="13" style="188" bestFit="1" customWidth="1"/>
    <col min="2819" max="2819" width="15.875" style="188" bestFit="1" customWidth="1"/>
    <col min="2820" max="2820" width="25.625" style="188" customWidth="1"/>
    <col min="2821" max="2821" width="48.75" style="188" customWidth="1"/>
    <col min="2822" max="2823" width="10.5" style="188" bestFit="1" customWidth="1"/>
    <col min="2824" max="2825" width="9.75" style="188" bestFit="1" customWidth="1"/>
    <col min="2826" max="3072" width="9" style="188"/>
    <col min="3073" max="3073" width="8.375" style="188" customWidth="1"/>
    <col min="3074" max="3074" width="13" style="188" bestFit="1" customWidth="1"/>
    <col min="3075" max="3075" width="15.875" style="188" bestFit="1" customWidth="1"/>
    <col min="3076" max="3076" width="25.625" style="188" customWidth="1"/>
    <col min="3077" max="3077" width="48.75" style="188" customWidth="1"/>
    <col min="3078" max="3079" width="10.5" style="188" bestFit="1" customWidth="1"/>
    <col min="3080" max="3081" width="9.75" style="188" bestFit="1" customWidth="1"/>
    <col min="3082" max="3328" width="9" style="188"/>
    <col min="3329" max="3329" width="8.375" style="188" customWidth="1"/>
    <col min="3330" max="3330" width="13" style="188" bestFit="1" customWidth="1"/>
    <col min="3331" max="3331" width="15.875" style="188" bestFit="1" customWidth="1"/>
    <col min="3332" max="3332" width="25.625" style="188" customWidth="1"/>
    <col min="3333" max="3333" width="48.75" style="188" customWidth="1"/>
    <col min="3334" max="3335" width="10.5" style="188" bestFit="1" customWidth="1"/>
    <col min="3336" max="3337" width="9.75" style="188" bestFit="1" customWidth="1"/>
    <col min="3338" max="3584" width="9" style="188"/>
    <col min="3585" max="3585" width="8.375" style="188" customWidth="1"/>
    <col min="3586" max="3586" width="13" style="188" bestFit="1" customWidth="1"/>
    <col min="3587" max="3587" width="15.875" style="188" bestFit="1" customWidth="1"/>
    <col min="3588" max="3588" width="25.625" style="188" customWidth="1"/>
    <col min="3589" max="3589" width="48.75" style="188" customWidth="1"/>
    <col min="3590" max="3591" width="10.5" style="188" bestFit="1" customWidth="1"/>
    <col min="3592" max="3593" width="9.75" style="188" bestFit="1" customWidth="1"/>
    <col min="3594" max="3840" width="9" style="188"/>
    <col min="3841" max="3841" width="8.375" style="188" customWidth="1"/>
    <col min="3842" max="3842" width="13" style="188" bestFit="1" customWidth="1"/>
    <col min="3843" max="3843" width="15.875" style="188" bestFit="1" customWidth="1"/>
    <col min="3844" max="3844" width="25.625" style="188" customWidth="1"/>
    <col min="3845" max="3845" width="48.75" style="188" customWidth="1"/>
    <col min="3846" max="3847" width="10.5" style="188" bestFit="1" customWidth="1"/>
    <col min="3848" max="3849" width="9.75" style="188" bestFit="1" customWidth="1"/>
    <col min="3850" max="4096" width="9" style="188"/>
    <col min="4097" max="4097" width="8.375" style="188" customWidth="1"/>
    <col min="4098" max="4098" width="13" style="188" bestFit="1" customWidth="1"/>
    <col min="4099" max="4099" width="15.875" style="188" bestFit="1" customWidth="1"/>
    <col min="4100" max="4100" width="25.625" style="188" customWidth="1"/>
    <col min="4101" max="4101" width="48.75" style="188" customWidth="1"/>
    <col min="4102" max="4103" width="10.5" style="188" bestFit="1" customWidth="1"/>
    <col min="4104" max="4105" width="9.75" style="188" bestFit="1" customWidth="1"/>
    <col min="4106" max="4352" width="9" style="188"/>
    <col min="4353" max="4353" width="8.375" style="188" customWidth="1"/>
    <col min="4354" max="4354" width="13" style="188" bestFit="1" customWidth="1"/>
    <col min="4355" max="4355" width="15.875" style="188" bestFit="1" customWidth="1"/>
    <col min="4356" max="4356" width="25.625" style="188" customWidth="1"/>
    <col min="4357" max="4357" width="48.75" style="188" customWidth="1"/>
    <col min="4358" max="4359" width="10.5" style="188" bestFit="1" customWidth="1"/>
    <col min="4360" max="4361" width="9.75" style="188" bestFit="1" customWidth="1"/>
    <col min="4362" max="4608" width="9" style="188"/>
    <col min="4609" max="4609" width="8.375" style="188" customWidth="1"/>
    <col min="4610" max="4610" width="13" style="188" bestFit="1" customWidth="1"/>
    <col min="4611" max="4611" width="15.875" style="188" bestFit="1" customWidth="1"/>
    <col min="4612" max="4612" width="25.625" style="188" customWidth="1"/>
    <col min="4613" max="4613" width="48.75" style="188" customWidth="1"/>
    <col min="4614" max="4615" width="10.5" style="188" bestFit="1" customWidth="1"/>
    <col min="4616" max="4617" width="9.75" style="188" bestFit="1" customWidth="1"/>
    <col min="4618" max="4864" width="9" style="188"/>
    <col min="4865" max="4865" width="8.375" style="188" customWidth="1"/>
    <col min="4866" max="4866" width="13" style="188" bestFit="1" customWidth="1"/>
    <col min="4867" max="4867" width="15.875" style="188" bestFit="1" customWidth="1"/>
    <col min="4868" max="4868" width="25.625" style="188" customWidth="1"/>
    <col min="4869" max="4869" width="48.75" style="188" customWidth="1"/>
    <col min="4870" max="4871" width="10.5" style="188" bestFit="1" customWidth="1"/>
    <col min="4872" max="4873" width="9.75" style="188" bestFit="1" customWidth="1"/>
    <col min="4874" max="5120" width="9" style="188"/>
    <col min="5121" max="5121" width="8.375" style="188" customWidth="1"/>
    <col min="5122" max="5122" width="13" style="188" bestFit="1" customWidth="1"/>
    <col min="5123" max="5123" width="15.875" style="188" bestFit="1" customWidth="1"/>
    <col min="5124" max="5124" width="25.625" style="188" customWidth="1"/>
    <col min="5125" max="5125" width="48.75" style="188" customWidth="1"/>
    <col min="5126" max="5127" width="10.5" style="188" bestFit="1" customWidth="1"/>
    <col min="5128" max="5129" width="9.75" style="188" bestFit="1" customWidth="1"/>
    <col min="5130" max="5376" width="9" style="188"/>
    <col min="5377" max="5377" width="8.375" style="188" customWidth="1"/>
    <col min="5378" max="5378" width="13" style="188" bestFit="1" customWidth="1"/>
    <col min="5379" max="5379" width="15.875" style="188" bestFit="1" customWidth="1"/>
    <col min="5380" max="5380" width="25.625" style="188" customWidth="1"/>
    <col min="5381" max="5381" width="48.75" style="188" customWidth="1"/>
    <col min="5382" max="5383" width="10.5" style="188" bestFit="1" customWidth="1"/>
    <col min="5384" max="5385" width="9.75" style="188" bestFit="1" customWidth="1"/>
    <col min="5386" max="5632" width="9" style="188"/>
    <col min="5633" max="5633" width="8.375" style="188" customWidth="1"/>
    <col min="5634" max="5634" width="13" style="188" bestFit="1" customWidth="1"/>
    <col min="5635" max="5635" width="15.875" style="188" bestFit="1" customWidth="1"/>
    <col min="5636" max="5636" width="25.625" style="188" customWidth="1"/>
    <col min="5637" max="5637" width="48.75" style="188" customWidth="1"/>
    <col min="5638" max="5639" width="10.5" style="188" bestFit="1" customWidth="1"/>
    <col min="5640" max="5641" width="9.75" style="188" bestFit="1" customWidth="1"/>
    <col min="5642" max="5888" width="9" style="188"/>
    <col min="5889" max="5889" width="8.375" style="188" customWidth="1"/>
    <col min="5890" max="5890" width="13" style="188" bestFit="1" customWidth="1"/>
    <col min="5891" max="5891" width="15.875" style="188" bestFit="1" customWidth="1"/>
    <col min="5892" max="5892" width="25.625" style="188" customWidth="1"/>
    <col min="5893" max="5893" width="48.75" style="188" customWidth="1"/>
    <col min="5894" max="5895" width="10.5" style="188" bestFit="1" customWidth="1"/>
    <col min="5896" max="5897" width="9.75" style="188" bestFit="1" customWidth="1"/>
    <col min="5898" max="6144" width="9" style="188"/>
    <col min="6145" max="6145" width="8.375" style="188" customWidth="1"/>
    <col min="6146" max="6146" width="13" style="188" bestFit="1" customWidth="1"/>
    <col min="6147" max="6147" width="15.875" style="188" bestFit="1" customWidth="1"/>
    <col min="6148" max="6148" width="25.625" style="188" customWidth="1"/>
    <col min="6149" max="6149" width="48.75" style="188" customWidth="1"/>
    <col min="6150" max="6151" width="10.5" style="188" bestFit="1" customWidth="1"/>
    <col min="6152" max="6153" width="9.75" style="188" bestFit="1" customWidth="1"/>
    <col min="6154" max="6400" width="9" style="188"/>
    <col min="6401" max="6401" width="8.375" style="188" customWidth="1"/>
    <col min="6402" max="6402" width="13" style="188" bestFit="1" customWidth="1"/>
    <col min="6403" max="6403" width="15.875" style="188" bestFit="1" customWidth="1"/>
    <col min="6404" max="6404" width="25.625" style="188" customWidth="1"/>
    <col min="6405" max="6405" width="48.75" style="188" customWidth="1"/>
    <col min="6406" max="6407" width="10.5" style="188" bestFit="1" customWidth="1"/>
    <col min="6408" max="6409" width="9.75" style="188" bestFit="1" customWidth="1"/>
    <col min="6410" max="6656" width="9" style="188"/>
    <col min="6657" max="6657" width="8.375" style="188" customWidth="1"/>
    <col min="6658" max="6658" width="13" style="188" bestFit="1" customWidth="1"/>
    <col min="6659" max="6659" width="15.875" style="188" bestFit="1" customWidth="1"/>
    <col min="6660" max="6660" width="25.625" style="188" customWidth="1"/>
    <col min="6661" max="6661" width="48.75" style="188" customWidth="1"/>
    <col min="6662" max="6663" width="10.5" style="188" bestFit="1" customWidth="1"/>
    <col min="6664" max="6665" width="9.75" style="188" bestFit="1" customWidth="1"/>
    <col min="6666" max="6912" width="9" style="188"/>
    <col min="6913" max="6913" width="8.375" style="188" customWidth="1"/>
    <col min="6914" max="6914" width="13" style="188" bestFit="1" customWidth="1"/>
    <col min="6915" max="6915" width="15.875" style="188" bestFit="1" customWidth="1"/>
    <col min="6916" max="6916" width="25.625" style="188" customWidth="1"/>
    <col min="6917" max="6917" width="48.75" style="188" customWidth="1"/>
    <col min="6918" max="6919" width="10.5" style="188" bestFit="1" customWidth="1"/>
    <col min="6920" max="6921" width="9.75" style="188" bestFit="1" customWidth="1"/>
    <col min="6922" max="7168" width="9" style="188"/>
    <col min="7169" max="7169" width="8.375" style="188" customWidth="1"/>
    <col min="7170" max="7170" width="13" style="188" bestFit="1" customWidth="1"/>
    <col min="7171" max="7171" width="15.875" style="188" bestFit="1" customWidth="1"/>
    <col min="7172" max="7172" width="25.625" style="188" customWidth="1"/>
    <col min="7173" max="7173" width="48.75" style="188" customWidth="1"/>
    <col min="7174" max="7175" width="10.5" style="188" bestFit="1" customWidth="1"/>
    <col min="7176" max="7177" width="9.75" style="188" bestFit="1" customWidth="1"/>
    <col min="7178" max="7424" width="9" style="188"/>
    <col min="7425" max="7425" width="8.375" style="188" customWidth="1"/>
    <col min="7426" max="7426" width="13" style="188" bestFit="1" customWidth="1"/>
    <col min="7427" max="7427" width="15.875" style="188" bestFit="1" customWidth="1"/>
    <col min="7428" max="7428" width="25.625" style="188" customWidth="1"/>
    <col min="7429" max="7429" width="48.75" style="188" customWidth="1"/>
    <col min="7430" max="7431" width="10.5" style="188" bestFit="1" customWidth="1"/>
    <col min="7432" max="7433" width="9.75" style="188" bestFit="1" customWidth="1"/>
    <col min="7434" max="7680" width="9" style="188"/>
    <col min="7681" max="7681" width="8.375" style="188" customWidth="1"/>
    <col min="7682" max="7682" width="13" style="188" bestFit="1" customWidth="1"/>
    <col min="7683" max="7683" width="15.875" style="188" bestFit="1" customWidth="1"/>
    <col min="7684" max="7684" width="25.625" style="188" customWidth="1"/>
    <col min="7685" max="7685" width="48.75" style="188" customWidth="1"/>
    <col min="7686" max="7687" width="10.5" style="188" bestFit="1" customWidth="1"/>
    <col min="7688" max="7689" width="9.75" style="188" bestFit="1" customWidth="1"/>
    <col min="7690" max="7936" width="9" style="188"/>
    <col min="7937" max="7937" width="8.375" style="188" customWidth="1"/>
    <col min="7938" max="7938" width="13" style="188" bestFit="1" customWidth="1"/>
    <col min="7939" max="7939" width="15.875" style="188" bestFit="1" customWidth="1"/>
    <col min="7940" max="7940" width="25.625" style="188" customWidth="1"/>
    <col min="7941" max="7941" width="48.75" style="188" customWidth="1"/>
    <col min="7942" max="7943" width="10.5" style="188" bestFit="1" customWidth="1"/>
    <col min="7944" max="7945" width="9.75" style="188" bestFit="1" customWidth="1"/>
    <col min="7946" max="8192" width="9" style="188"/>
    <col min="8193" max="8193" width="8.375" style="188" customWidth="1"/>
    <col min="8194" max="8194" width="13" style="188" bestFit="1" customWidth="1"/>
    <col min="8195" max="8195" width="15.875" style="188" bestFit="1" customWidth="1"/>
    <col min="8196" max="8196" width="25.625" style="188" customWidth="1"/>
    <col min="8197" max="8197" width="48.75" style="188" customWidth="1"/>
    <col min="8198" max="8199" width="10.5" style="188" bestFit="1" customWidth="1"/>
    <col min="8200" max="8201" width="9.75" style="188" bestFit="1" customWidth="1"/>
    <col min="8202" max="8448" width="9" style="188"/>
    <col min="8449" max="8449" width="8.375" style="188" customWidth="1"/>
    <col min="8450" max="8450" width="13" style="188" bestFit="1" customWidth="1"/>
    <col min="8451" max="8451" width="15.875" style="188" bestFit="1" customWidth="1"/>
    <col min="8452" max="8452" width="25.625" style="188" customWidth="1"/>
    <col min="8453" max="8453" width="48.75" style="188" customWidth="1"/>
    <col min="8454" max="8455" width="10.5" style="188" bestFit="1" customWidth="1"/>
    <col min="8456" max="8457" width="9.75" style="188" bestFit="1" customWidth="1"/>
    <col min="8458" max="8704" width="9" style="188"/>
    <col min="8705" max="8705" width="8.375" style="188" customWidth="1"/>
    <col min="8706" max="8706" width="13" style="188" bestFit="1" customWidth="1"/>
    <col min="8707" max="8707" width="15.875" style="188" bestFit="1" customWidth="1"/>
    <col min="8708" max="8708" width="25.625" style="188" customWidth="1"/>
    <col min="8709" max="8709" width="48.75" style="188" customWidth="1"/>
    <col min="8710" max="8711" width="10.5" style="188" bestFit="1" customWidth="1"/>
    <col min="8712" max="8713" width="9.75" style="188" bestFit="1" customWidth="1"/>
    <col min="8714" max="8960" width="9" style="188"/>
    <col min="8961" max="8961" width="8.375" style="188" customWidth="1"/>
    <col min="8962" max="8962" width="13" style="188" bestFit="1" customWidth="1"/>
    <col min="8963" max="8963" width="15.875" style="188" bestFit="1" customWidth="1"/>
    <col min="8964" max="8964" width="25.625" style="188" customWidth="1"/>
    <col min="8965" max="8965" width="48.75" style="188" customWidth="1"/>
    <col min="8966" max="8967" width="10.5" style="188" bestFit="1" customWidth="1"/>
    <col min="8968" max="8969" width="9.75" style="188" bestFit="1" customWidth="1"/>
    <col min="8970" max="9216" width="9" style="188"/>
    <col min="9217" max="9217" width="8.375" style="188" customWidth="1"/>
    <col min="9218" max="9218" width="13" style="188" bestFit="1" customWidth="1"/>
    <col min="9219" max="9219" width="15.875" style="188" bestFit="1" customWidth="1"/>
    <col min="9220" max="9220" width="25.625" style="188" customWidth="1"/>
    <col min="9221" max="9221" width="48.75" style="188" customWidth="1"/>
    <col min="9222" max="9223" width="10.5" style="188" bestFit="1" customWidth="1"/>
    <col min="9224" max="9225" width="9.75" style="188" bestFit="1" customWidth="1"/>
    <col min="9226" max="9472" width="9" style="188"/>
    <col min="9473" max="9473" width="8.375" style="188" customWidth="1"/>
    <col min="9474" max="9474" width="13" style="188" bestFit="1" customWidth="1"/>
    <col min="9475" max="9475" width="15.875" style="188" bestFit="1" customWidth="1"/>
    <col min="9476" max="9476" width="25.625" style="188" customWidth="1"/>
    <col min="9477" max="9477" width="48.75" style="188" customWidth="1"/>
    <col min="9478" max="9479" width="10.5" style="188" bestFit="1" customWidth="1"/>
    <col min="9480" max="9481" width="9.75" style="188" bestFit="1" customWidth="1"/>
    <col min="9482" max="9728" width="9" style="188"/>
    <col min="9729" max="9729" width="8.375" style="188" customWidth="1"/>
    <col min="9730" max="9730" width="13" style="188" bestFit="1" customWidth="1"/>
    <col min="9731" max="9731" width="15.875" style="188" bestFit="1" customWidth="1"/>
    <col min="9732" max="9732" width="25.625" style="188" customWidth="1"/>
    <col min="9733" max="9733" width="48.75" style="188" customWidth="1"/>
    <col min="9734" max="9735" width="10.5" style="188" bestFit="1" customWidth="1"/>
    <col min="9736" max="9737" width="9.75" style="188" bestFit="1" customWidth="1"/>
    <col min="9738" max="9984" width="9" style="188"/>
    <col min="9985" max="9985" width="8.375" style="188" customWidth="1"/>
    <col min="9986" max="9986" width="13" style="188" bestFit="1" customWidth="1"/>
    <col min="9987" max="9987" width="15.875" style="188" bestFit="1" customWidth="1"/>
    <col min="9988" max="9988" width="25.625" style="188" customWidth="1"/>
    <col min="9989" max="9989" width="48.75" style="188" customWidth="1"/>
    <col min="9990" max="9991" width="10.5" style="188" bestFit="1" customWidth="1"/>
    <col min="9992" max="9993" width="9.75" style="188" bestFit="1" customWidth="1"/>
    <col min="9994" max="10240" width="9" style="188"/>
    <col min="10241" max="10241" width="8.375" style="188" customWidth="1"/>
    <col min="10242" max="10242" width="13" style="188" bestFit="1" customWidth="1"/>
    <col min="10243" max="10243" width="15.875" style="188" bestFit="1" customWidth="1"/>
    <col min="10244" max="10244" width="25.625" style="188" customWidth="1"/>
    <col min="10245" max="10245" width="48.75" style="188" customWidth="1"/>
    <col min="10246" max="10247" width="10.5" style="188" bestFit="1" customWidth="1"/>
    <col min="10248" max="10249" width="9.75" style="188" bestFit="1" customWidth="1"/>
    <col min="10250" max="10496" width="9" style="188"/>
    <col min="10497" max="10497" width="8.375" style="188" customWidth="1"/>
    <col min="10498" max="10498" width="13" style="188" bestFit="1" customWidth="1"/>
    <col min="10499" max="10499" width="15.875" style="188" bestFit="1" customWidth="1"/>
    <col min="10500" max="10500" width="25.625" style="188" customWidth="1"/>
    <col min="10501" max="10501" width="48.75" style="188" customWidth="1"/>
    <col min="10502" max="10503" width="10.5" style="188" bestFit="1" customWidth="1"/>
    <col min="10504" max="10505" width="9.75" style="188" bestFit="1" customWidth="1"/>
    <col min="10506" max="10752" width="9" style="188"/>
    <col min="10753" max="10753" width="8.375" style="188" customWidth="1"/>
    <col min="10754" max="10754" width="13" style="188" bestFit="1" customWidth="1"/>
    <col min="10755" max="10755" width="15.875" style="188" bestFit="1" customWidth="1"/>
    <col min="10756" max="10756" width="25.625" style="188" customWidth="1"/>
    <col min="10757" max="10757" width="48.75" style="188" customWidth="1"/>
    <col min="10758" max="10759" width="10.5" style="188" bestFit="1" customWidth="1"/>
    <col min="10760" max="10761" width="9.75" style="188" bestFit="1" customWidth="1"/>
    <col min="10762" max="11008" width="9" style="188"/>
    <col min="11009" max="11009" width="8.375" style="188" customWidth="1"/>
    <col min="11010" max="11010" width="13" style="188" bestFit="1" customWidth="1"/>
    <col min="11011" max="11011" width="15.875" style="188" bestFit="1" customWidth="1"/>
    <col min="11012" max="11012" width="25.625" style="188" customWidth="1"/>
    <col min="11013" max="11013" width="48.75" style="188" customWidth="1"/>
    <col min="11014" max="11015" width="10.5" style="188" bestFit="1" customWidth="1"/>
    <col min="11016" max="11017" width="9.75" style="188" bestFit="1" customWidth="1"/>
    <col min="11018" max="11264" width="9" style="188"/>
    <col min="11265" max="11265" width="8.375" style="188" customWidth="1"/>
    <col min="11266" max="11266" width="13" style="188" bestFit="1" customWidth="1"/>
    <col min="11267" max="11267" width="15.875" style="188" bestFit="1" customWidth="1"/>
    <col min="11268" max="11268" width="25.625" style="188" customWidth="1"/>
    <col min="11269" max="11269" width="48.75" style="188" customWidth="1"/>
    <col min="11270" max="11271" width="10.5" style="188" bestFit="1" customWidth="1"/>
    <col min="11272" max="11273" width="9.75" style="188" bestFit="1" customWidth="1"/>
    <col min="11274" max="11520" width="9" style="188"/>
    <col min="11521" max="11521" width="8.375" style="188" customWidth="1"/>
    <col min="11522" max="11522" width="13" style="188" bestFit="1" customWidth="1"/>
    <col min="11523" max="11523" width="15.875" style="188" bestFit="1" customWidth="1"/>
    <col min="11524" max="11524" width="25.625" style="188" customWidth="1"/>
    <col min="11525" max="11525" width="48.75" style="188" customWidth="1"/>
    <col min="11526" max="11527" width="10.5" style="188" bestFit="1" customWidth="1"/>
    <col min="11528" max="11529" width="9.75" style="188" bestFit="1" customWidth="1"/>
    <col min="11530" max="11776" width="9" style="188"/>
    <col min="11777" max="11777" width="8.375" style="188" customWidth="1"/>
    <col min="11778" max="11778" width="13" style="188" bestFit="1" customWidth="1"/>
    <col min="11779" max="11779" width="15.875" style="188" bestFit="1" customWidth="1"/>
    <col min="11780" max="11780" width="25.625" style="188" customWidth="1"/>
    <col min="11781" max="11781" width="48.75" style="188" customWidth="1"/>
    <col min="11782" max="11783" width="10.5" style="188" bestFit="1" customWidth="1"/>
    <col min="11784" max="11785" width="9.75" style="188" bestFit="1" customWidth="1"/>
    <col min="11786" max="12032" width="9" style="188"/>
    <col min="12033" max="12033" width="8.375" style="188" customWidth="1"/>
    <col min="12034" max="12034" width="13" style="188" bestFit="1" customWidth="1"/>
    <col min="12035" max="12035" width="15.875" style="188" bestFit="1" customWidth="1"/>
    <col min="12036" max="12036" width="25.625" style="188" customWidth="1"/>
    <col min="12037" max="12037" width="48.75" style="188" customWidth="1"/>
    <col min="12038" max="12039" width="10.5" style="188" bestFit="1" customWidth="1"/>
    <col min="12040" max="12041" width="9.75" style="188" bestFit="1" customWidth="1"/>
    <col min="12042" max="12288" width="9" style="188"/>
    <col min="12289" max="12289" width="8.375" style="188" customWidth="1"/>
    <col min="12290" max="12290" width="13" style="188" bestFit="1" customWidth="1"/>
    <col min="12291" max="12291" width="15.875" style="188" bestFit="1" customWidth="1"/>
    <col min="12292" max="12292" width="25.625" style="188" customWidth="1"/>
    <col min="12293" max="12293" width="48.75" style="188" customWidth="1"/>
    <col min="12294" max="12295" width="10.5" style="188" bestFit="1" customWidth="1"/>
    <col min="12296" max="12297" width="9.75" style="188" bestFit="1" customWidth="1"/>
    <col min="12298" max="12544" width="9" style="188"/>
    <col min="12545" max="12545" width="8.375" style="188" customWidth="1"/>
    <col min="12546" max="12546" width="13" style="188" bestFit="1" customWidth="1"/>
    <col min="12547" max="12547" width="15.875" style="188" bestFit="1" customWidth="1"/>
    <col min="12548" max="12548" width="25.625" style="188" customWidth="1"/>
    <col min="12549" max="12549" width="48.75" style="188" customWidth="1"/>
    <col min="12550" max="12551" width="10.5" style="188" bestFit="1" customWidth="1"/>
    <col min="12552" max="12553" width="9.75" style="188" bestFit="1" customWidth="1"/>
    <col min="12554" max="12800" width="9" style="188"/>
    <col min="12801" max="12801" width="8.375" style="188" customWidth="1"/>
    <col min="12802" max="12802" width="13" style="188" bestFit="1" customWidth="1"/>
    <col min="12803" max="12803" width="15.875" style="188" bestFit="1" customWidth="1"/>
    <col min="12804" max="12804" width="25.625" style="188" customWidth="1"/>
    <col min="12805" max="12805" width="48.75" style="188" customWidth="1"/>
    <col min="12806" max="12807" width="10.5" style="188" bestFit="1" customWidth="1"/>
    <col min="12808" max="12809" width="9.75" style="188" bestFit="1" customWidth="1"/>
    <col min="12810" max="13056" width="9" style="188"/>
    <col min="13057" max="13057" width="8.375" style="188" customWidth="1"/>
    <col min="13058" max="13058" width="13" style="188" bestFit="1" customWidth="1"/>
    <col min="13059" max="13059" width="15.875" style="188" bestFit="1" customWidth="1"/>
    <col min="13060" max="13060" width="25.625" style="188" customWidth="1"/>
    <col min="13061" max="13061" width="48.75" style="188" customWidth="1"/>
    <col min="13062" max="13063" width="10.5" style="188" bestFit="1" customWidth="1"/>
    <col min="13064" max="13065" width="9.75" style="188" bestFit="1" customWidth="1"/>
    <col min="13066" max="13312" width="9" style="188"/>
    <col min="13313" max="13313" width="8.375" style="188" customWidth="1"/>
    <col min="13314" max="13314" width="13" style="188" bestFit="1" customWidth="1"/>
    <col min="13315" max="13315" width="15.875" style="188" bestFit="1" customWidth="1"/>
    <col min="13316" max="13316" width="25.625" style="188" customWidth="1"/>
    <col min="13317" max="13317" width="48.75" style="188" customWidth="1"/>
    <col min="13318" max="13319" width="10.5" style="188" bestFit="1" customWidth="1"/>
    <col min="13320" max="13321" width="9.75" style="188" bestFit="1" customWidth="1"/>
    <col min="13322" max="13568" width="9" style="188"/>
    <col min="13569" max="13569" width="8.375" style="188" customWidth="1"/>
    <col min="13570" max="13570" width="13" style="188" bestFit="1" customWidth="1"/>
    <col min="13571" max="13571" width="15.875" style="188" bestFit="1" customWidth="1"/>
    <col min="13572" max="13572" width="25.625" style="188" customWidth="1"/>
    <col min="13573" max="13573" width="48.75" style="188" customWidth="1"/>
    <col min="13574" max="13575" width="10.5" style="188" bestFit="1" customWidth="1"/>
    <col min="13576" max="13577" width="9.75" style="188" bestFit="1" customWidth="1"/>
    <col min="13578" max="13824" width="9" style="188"/>
    <col min="13825" max="13825" width="8.375" style="188" customWidth="1"/>
    <col min="13826" max="13826" width="13" style="188" bestFit="1" customWidth="1"/>
    <col min="13827" max="13827" width="15.875" style="188" bestFit="1" customWidth="1"/>
    <col min="13828" max="13828" width="25.625" style="188" customWidth="1"/>
    <col min="13829" max="13829" width="48.75" style="188" customWidth="1"/>
    <col min="13830" max="13831" width="10.5" style="188" bestFit="1" customWidth="1"/>
    <col min="13832" max="13833" width="9.75" style="188" bestFit="1" customWidth="1"/>
    <col min="13834" max="14080" width="9" style="188"/>
    <col min="14081" max="14081" width="8.375" style="188" customWidth="1"/>
    <col min="14082" max="14082" width="13" style="188" bestFit="1" customWidth="1"/>
    <col min="14083" max="14083" width="15.875" style="188" bestFit="1" customWidth="1"/>
    <col min="14084" max="14084" width="25.625" style="188" customWidth="1"/>
    <col min="14085" max="14085" width="48.75" style="188" customWidth="1"/>
    <col min="14086" max="14087" width="10.5" style="188" bestFit="1" customWidth="1"/>
    <col min="14088" max="14089" width="9.75" style="188" bestFit="1" customWidth="1"/>
    <col min="14090" max="14336" width="9" style="188"/>
    <col min="14337" max="14337" width="8.375" style="188" customWidth="1"/>
    <col min="14338" max="14338" width="13" style="188" bestFit="1" customWidth="1"/>
    <col min="14339" max="14339" width="15.875" style="188" bestFit="1" customWidth="1"/>
    <col min="14340" max="14340" width="25.625" style="188" customWidth="1"/>
    <col min="14341" max="14341" width="48.75" style="188" customWidth="1"/>
    <col min="14342" max="14343" width="10.5" style="188" bestFit="1" customWidth="1"/>
    <col min="14344" max="14345" width="9.75" style="188" bestFit="1" customWidth="1"/>
    <col min="14346" max="14592" width="9" style="188"/>
    <col min="14593" max="14593" width="8.375" style="188" customWidth="1"/>
    <col min="14594" max="14594" width="13" style="188" bestFit="1" customWidth="1"/>
    <col min="14595" max="14595" width="15.875" style="188" bestFit="1" customWidth="1"/>
    <col min="14596" max="14596" width="25.625" style="188" customWidth="1"/>
    <col min="14597" max="14597" width="48.75" style="188" customWidth="1"/>
    <col min="14598" max="14599" width="10.5" style="188" bestFit="1" customWidth="1"/>
    <col min="14600" max="14601" width="9.75" style="188" bestFit="1" customWidth="1"/>
    <col min="14602" max="14848" width="9" style="188"/>
    <col min="14849" max="14849" width="8.375" style="188" customWidth="1"/>
    <col min="14850" max="14850" width="13" style="188" bestFit="1" customWidth="1"/>
    <col min="14851" max="14851" width="15.875" style="188" bestFit="1" customWidth="1"/>
    <col min="14852" max="14852" width="25.625" style="188" customWidth="1"/>
    <col min="14853" max="14853" width="48.75" style="188" customWidth="1"/>
    <col min="14854" max="14855" width="10.5" style="188" bestFit="1" customWidth="1"/>
    <col min="14856" max="14857" width="9.75" style="188" bestFit="1" customWidth="1"/>
    <col min="14858" max="15104" width="9" style="188"/>
    <col min="15105" max="15105" width="8.375" style="188" customWidth="1"/>
    <col min="15106" max="15106" width="13" style="188" bestFit="1" customWidth="1"/>
    <col min="15107" max="15107" width="15.875" style="188" bestFit="1" customWidth="1"/>
    <col min="15108" max="15108" width="25.625" style="188" customWidth="1"/>
    <col min="15109" max="15109" width="48.75" style="188" customWidth="1"/>
    <col min="15110" max="15111" width="10.5" style="188" bestFit="1" customWidth="1"/>
    <col min="15112" max="15113" width="9.75" style="188" bestFit="1" customWidth="1"/>
    <col min="15114" max="15360" width="9" style="188"/>
    <col min="15361" max="15361" width="8.375" style="188" customWidth="1"/>
    <col min="15362" max="15362" width="13" style="188" bestFit="1" customWidth="1"/>
    <col min="15363" max="15363" width="15.875" style="188" bestFit="1" customWidth="1"/>
    <col min="15364" max="15364" width="25.625" style="188" customWidth="1"/>
    <col min="15365" max="15365" width="48.75" style="188" customWidth="1"/>
    <col min="15366" max="15367" width="10.5" style="188" bestFit="1" customWidth="1"/>
    <col min="15368" max="15369" width="9.75" style="188" bestFit="1" customWidth="1"/>
    <col min="15370" max="15616" width="9" style="188"/>
    <col min="15617" max="15617" width="8.375" style="188" customWidth="1"/>
    <col min="15618" max="15618" width="13" style="188" bestFit="1" customWidth="1"/>
    <col min="15619" max="15619" width="15.875" style="188" bestFit="1" customWidth="1"/>
    <col min="15620" max="15620" width="25.625" style="188" customWidth="1"/>
    <col min="15621" max="15621" width="48.75" style="188" customWidth="1"/>
    <col min="15622" max="15623" width="10.5" style="188" bestFit="1" customWidth="1"/>
    <col min="15624" max="15625" width="9.75" style="188" bestFit="1" customWidth="1"/>
    <col min="15626" max="15872" width="9" style="188"/>
    <col min="15873" max="15873" width="8.375" style="188" customWidth="1"/>
    <col min="15874" max="15874" width="13" style="188" bestFit="1" customWidth="1"/>
    <col min="15875" max="15875" width="15.875" style="188" bestFit="1" customWidth="1"/>
    <col min="15876" max="15876" width="25.625" style="188" customWidth="1"/>
    <col min="15877" max="15877" width="48.75" style="188" customWidth="1"/>
    <col min="15878" max="15879" width="10.5" style="188" bestFit="1" customWidth="1"/>
    <col min="15880" max="15881" width="9.75" style="188" bestFit="1" customWidth="1"/>
    <col min="15882" max="16128" width="9" style="188"/>
    <col min="16129" max="16129" width="8.375" style="188" customWidth="1"/>
    <col min="16130" max="16130" width="13" style="188" bestFit="1" customWidth="1"/>
    <col min="16131" max="16131" width="15.875" style="188" bestFit="1" customWidth="1"/>
    <col min="16132" max="16132" width="25.625" style="188" customWidth="1"/>
    <col min="16133" max="16133" width="48.75" style="188" customWidth="1"/>
    <col min="16134" max="16135" width="10.5" style="188" bestFit="1" customWidth="1"/>
    <col min="16136" max="16137" width="9.75" style="188" bestFit="1" customWidth="1"/>
    <col min="16138" max="16384" width="9" style="188"/>
  </cols>
  <sheetData>
    <row r="1" spans="1:9" s="174" customFormat="1" ht="26.25" x14ac:dyDescent="0.2">
      <c r="A1" s="636" t="s">
        <v>788</v>
      </c>
      <c r="B1" s="636"/>
      <c r="C1" s="636"/>
      <c r="D1" s="636"/>
      <c r="E1" s="636"/>
      <c r="F1" s="636"/>
      <c r="G1" s="636"/>
      <c r="H1" s="636"/>
      <c r="I1" s="636"/>
    </row>
    <row r="2" spans="1:9" s="174" customFormat="1" x14ac:dyDescent="0.2">
      <c r="A2" s="175"/>
      <c r="B2" s="175"/>
      <c r="C2" s="175"/>
      <c r="D2" s="175"/>
      <c r="E2" s="176"/>
      <c r="F2" s="175"/>
      <c r="G2" s="175"/>
      <c r="H2" s="175"/>
      <c r="I2" s="175"/>
    </row>
    <row r="3" spans="1:9" s="177" customFormat="1" x14ac:dyDescent="0.2">
      <c r="A3" s="635" t="s">
        <v>1</v>
      </c>
      <c r="B3" s="635" t="s">
        <v>2</v>
      </c>
      <c r="C3" s="635" t="s">
        <v>789</v>
      </c>
      <c r="D3" s="633" t="s">
        <v>3</v>
      </c>
      <c r="E3" s="633" t="s">
        <v>90</v>
      </c>
      <c r="F3" s="633" t="s">
        <v>4</v>
      </c>
      <c r="G3" s="634" t="s">
        <v>5</v>
      </c>
      <c r="H3" s="634"/>
      <c r="I3" s="634"/>
    </row>
    <row r="4" spans="1:9" s="177" customFormat="1" x14ac:dyDescent="0.2">
      <c r="A4" s="635"/>
      <c r="B4" s="635"/>
      <c r="C4" s="635"/>
      <c r="D4" s="633"/>
      <c r="E4" s="633"/>
      <c r="F4" s="633"/>
      <c r="G4" s="178" t="s">
        <v>8</v>
      </c>
      <c r="H4" s="178" t="s">
        <v>9</v>
      </c>
      <c r="I4" s="178" t="s">
        <v>3</v>
      </c>
    </row>
    <row r="5" spans="1:9" s="174" customFormat="1" ht="126" x14ac:dyDescent="0.2">
      <c r="A5" s="179">
        <v>240231</v>
      </c>
      <c r="B5" s="180" t="s">
        <v>790</v>
      </c>
      <c r="C5" s="181" t="s">
        <v>791</v>
      </c>
      <c r="D5" s="180" t="s">
        <v>792</v>
      </c>
      <c r="E5" s="182" t="s">
        <v>793</v>
      </c>
      <c r="F5" s="183">
        <v>779000</v>
      </c>
      <c r="G5" s="183">
        <f t="shared" ref="G5:G8" si="0">+F5*90/100</f>
        <v>701100</v>
      </c>
      <c r="H5" s="183">
        <f t="shared" ref="H5:H8" si="1">+F5*5/100</f>
        <v>38950</v>
      </c>
      <c r="I5" s="183">
        <f t="shared" ref="I5:I8" si="2">+F5*5/100</f>
        <v>38950</v>
      </c>
    </row>
    <row r="6" spans="1:9" s="174" customFormat="1" ht="105" x14ac:dyDescent="0.2">
      <c r="A6" s="179">
        <v>240231</v>
      </c>
      <c r="B6" s="180" t="s">
        <v>794</v>
      </c>
      <c r="C6" s="181" t="s">
        <v>795</v>
      </c>
      <c r="D6" s="180" t="s">
        <v>792</v>
      </c>
      <c r="E6" s="182" t="s">
        <v>796</v>
      </c>
      <c r="F6" s="183">
        <v>150000</v>
      </c>
      <c r="G6" s="183">
        <f t="shared" si="0"/>
        <v>135000</v>
      </c>
      <c r="H6" s="183">
        <f t="shared" si="1"/>
        <v>7500</v>
      </c>
      <c r="I6" s="183">
        <f t="shared" si="2"/>
        <v>7500</v>
      </c>
    </row>
    <row r="7" spans="1:9" s="174" customFormat="1" ht="105" x14ac:dyDescent="0.2">
      <c r="A7" s="179">
        <v>240231</v>
      </c>
      <c r="B7" s="180" t="s">
        <v>797</v>
      </c>
      <c r="C7" s="181" t="s">
        <v>798</v>
      </c>
      <c r="D7" s="180" t="s">
        <v>792</v>
      </c>
      <c r="E7" s="182" t="s">
        <v>799</v>
      </c>
      <c r="F7" s="183">
        <v>100000</v>
      </c>
      <c r="G7" s="183">
        <f t="shared" si="0"/>
        <v>90000</v>
      </c>
      <c r="H7" s="183">
        <f t="shared" si="1"/>
        <v>5000</v>
      </c>
      <c r="I7" s="183">
        <f t="shared" si="2"/>
        <v>5000</v>
      </c>
    </row>
    <row r="8" spans="1:9" s="174" customFormat="1" ht="105" x14ac:dyDescent="0.2">
      <c r="A8" s="179">
        <v>240233</v>
      </c>
      <c r="B8" s="180" t="s">
        <v>800</v>
      </c>
      <c r="C8" s="181" t="s">
        <v>801</v>
      </c>
      <c r="D8" s="180" t="s">
        <v>792</v>
      </c>
      <c r="E8" s="182" t="s">
        <v>802</v>
      </c>
      <c r="F8" s="183">
        <v>85000</v>
      </c>
      <c r="G8" s="183">
        <f t="shared" si="0"/>
        <v>76500</v>
      </c>
      <c r="H8" s="183">
        <f t="shared" si="1"/>
        <v>4250</v>
      </c>
      <c r="I8" s="183">
        <f t="shared" si="2"/>
        <v>4250</v>
      </c>
    </row>
    <row r="9" spans="1:9" ht="21.75" thickBot="1" x14ac:dyDescent="0.25">
      <c r="A9" s="196"/>
      <c r="B9" s="196"/>
      <c r="C9" s="196"/>
      <c r="D9" s="196"/>
      <c r="E9" s="197"/>
      <c r="F9" s="198">
        <f>SUM(F5:F8)</f>
        <v>1114000</v>
      </c>
      <c r="G9" s="198">
        <f>SUM(G5:G8)</f>
        <v>1002600</v>
      </c>
      <c r="H9" s="198">
        <f>SUM(H5:H8)</f>
        <v>55700</v>
      </c>
      <c r="I9" s="198">
        <f>SUM(I5:I8)</f>
        <v>55700</v>
      </c>
    </row>
    <row r="10" spans="1:9" ht="21.75" thickTop="1" x14ac:dyDescent="0.2">
      <c r="I10" s="200">
        <f>+F9-G9-H9-I9</f>
        <v>0</v>
      </c>
    </row>
    <row r="12" spans="1:9" x14ac:dyDescent="0.2">
      <c r="B12" s="201" t="s">
        <v>85</v>
      </c>
      <c r="C12" s="188" t="s">
        <v>86</v>
      </c>
      <c r="D12" s="188"/>
      <c r="E12" s="202"/>
    </row>
    <row r="13" spans="1:9" x14ac:dyDescent="0.2">
      <c r="B13" s="201" t="s">
        <v>3</v>
      </c>
      <c r="C13" s="188" t="s">
        <v>87</v>
      </c>
      <c r="D13" s="188"/>
      <c r="E13" s="202"/>
    </row>
    <row r="14" spans="1:9" x14ac:dyDescent="0.2">
      <c r="B14" s="201" t="s">
        <v>88</v>
      </c>
      <c r="C14" s="188" t="s">
        <v>89</v>
      </c>
      <c r="D14" s="188"/>
      <c r="E14" s="202"/>
    </row>
    <row r="15" spans="1:9" x14ac:dyDescent="0.2">
      <c r="B15" s="201" t="s">
        <v>90</v>
      </c>
      <c r="C15" s="188" t="s">
        <v>91</v>
      </c>
      <c r="D15" s="188"/>
      <c r="E15" s="202"/>
    </row>
    <row r="16" spans="1:9" s="177" customFormat="1" x14ac:dyDescent="0.2">
      <c r="A16" s="174"/>
      <c r="B16" s="201" t="s">
        <v>92</v>
      </c>
      <c r="C16" s="203" t="s">
        <v>93</v>
      </c>
      <c r="E16" s="204"/>
      <c r="F16" s="200"/>
      <c r="G16" s="200"/>
      <c r="H16" s="200"/>
      <c r="I16" s="200"/>
    </row>
  </sheetData>
  <mergeCells count="8">
    <mergeCell ref="A1:I1"/>
    <mergeCell ref="A3:A4"/>
    <mergeCell ref="B3:B4"/>
    <mergeCell ref="C3:C4"/>
    <mergeCell ref="D3:D4"/>
    <mergeCell ref="E3:E4"/>
    <mergeCell ref="F3:F4"/>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Normal="100" workbookViewId="0">
      <selection activeCell="A24" sqref="A24:B24"/>
    </sheetView>
  </sheetViews>
  <sheetFormatPr defaultRowHeight="23.25" x14ac:dyDescent="0.5"/>
  <cols>
    <col min="1" max="1" width="5" style="323" customWidth="1"/>
    <col min="2" max="2" width="37.25" style="323" customWidth="1"/>
    <col min="3" max="3" width="13.75" style="324" customWidth="1"/>
    <col min="4" max="7" width="14.375" style="325" customWidth="1"/>
    <col min="8" max="8" width="12.875" style="325" customWidth="1"/>
    <col min="9" max="9" width="13.75" style="325" customWidth="1"/>
    <col min="10" max="10" width="17.5" style="325" customWidth="1"/>
    <col min="11" max="256" width="9" style="325"/>
    <col min="257" max="257" width="5" style="325" customWidth="1"/>
    <col min="258" max="258" width="37.25" style="325" customWidth="1"/>
    <col min="259" max="259" width="13.75" style="325" customWidth="1"/>
    <col min="260" max="263" width="14.375" style="325" customWidth="1"/>
    <col min="264" max="264" width="12.875" style="325" customWidth="1"/>
    <col min="265" max="265" width="13.75" style="325" customWidth="1"/>
    <col min="266" max="266" width="17.5" style="325" customWidth="1"/>
    <col min="267" max="512" width="9" style="325"/>
    <col min="513" max="513" width="5" style="325" customWidth="1"/>
    <col min="514" max="514" width="37.25" style="325" customWidth="1"/>
    <col min="515" max="515" width="13.75" style="325" customWidth="1"/>
    <col min="516" max="519" width="14.375" style="325" customWidth="1"/>
    <col min="520" max="520" width="12.875" style="325" customWidth="1"/>
    <col min="521" max="521" width="13.75" style="325" customWidth="1"/>
    <col min="522" max="522" width="17.5" style="325" customWidth="1"/>
    <col min="523" max="768" width="9" style="325"/>
    <col min="769" max="769" width="5" style="325" customWidth="1"/>
    <col min="770" max="770" width="37.25" style="325" customWidth="1"/>
    <col min="771" max="771" width="13.75" style="325" customWidth="1"/>
    <col min="772" max="775" width="14.375" style="325" customWidth="1"/>
    <col min="776" max="776" width="12.875" style="325" customWidth="1"/>
    <col min="777" max="777" width="13.75" style="325" customWidth="1"/>
    <col min="778" max="778" width="17.5" style="325" customWidth="1"/>
    <col min="779" max="1024" width="9" style="325"/>
    <col min="1025" max="1025" width="5" style="325" customWidth="1"/>
    <col min="1026" max="1026" width="37.25" style="325" customWidth="1"/>
    <col min="1027" max="1027" width="13.75" style="325" customWidth="1"/>
    <col min="1028" max="1031" width="14.375" style="325" customWidth="1"/>
    <col min="1032" max="1032" width="12.875" style="325" customWidth="1"/>
    <col min="1033" max="1033" width="13.75" style="325" customWidth="1"/>
    <col min="1034" max="1034" width="17.5" style="325" customWidth="1"/>
    <col min="1035" max="1280" width="9" style="325"/>
    <col min="1281" max="1281" width="5" style="325" customWidth="1"/>
    <col min="1282" max="1282" width="37.25" style="325" customWidth="1"/>
    <col min="1283" max="1283" width="13.75" style="325" customWidth="1"/>
    <col min="1284" max="1287" width="14.375" style="325" customWidth="1"/>
    <col min="1288" max="1288" width="12.875" style="325" customWidth="1"/>
    <col min="1289" max="1289" width="13.75" style="325" customWidth="1"/>
    <col min="1290" max="1290" width="17.5" style="325" customWidth="1"/>
    <col min="1291" max="1536" width="9" style="325"/>
    <col min="1537" max="1537" width="5" style="325" customWidth="1"/>
    <col min="1538" max="1538" width="37.25" style="325" customWidth="1"/>
    <col min="1539" max="1539" width="13.75" style="325" customWidth="1"/>
    <col min="1540" max="1543" width="14.375" style="325" customWidth="1"/>
    <col min="1544" max="1544" width="12.875" style="325" customWidth="1"/>
    <col min="1545" max="1545" width="13.75" style="325" customWidth="1"/>
    <col min="1546" max="1546" width="17.5" style="325" customWidth="1"/>
    <col min="1547" max="1792" width="9" style="325"/>
    <col min="1793" max="1793" width="5" style="325" customWidth="1"/>
    <col min="1794" max="1794" width="37.25" style="325" customWidth="1"/>
    <col min="1795" max="1795" width="13.75" style="325" customWidth="1"/>
    <col min="1796" max="1799" width="14.375" style="325" customWidth="1"/>
    <col min="1800" max="1800" width="12.875" style="325" customWidth="1"/>
    <col min="1801" max="1801" width="13.75" style="325" customWidth="1"/>
    <col min="1802" max="1802" width="17.5" style="325" customWidth="1"/>
    <col min="1803" max="2048" width="9" style="325"/>
    <col min="2049" max="2049" width="5" style="325" customWidth="1"/>
    <col min="2050" max="2050" width="37.25" style="325" customWidth="1"/>
    <col min="2051" max="2051" width="13.75" style="325" customWidth="1"/>
    <col min="2052" max="2055" width="14.375" style="325" customWidth="1"/>
    <col min="2056" max="2056" width="12.875" style="325" customWidth="1"/>
    <col min="2057" max="2057" width="13.75" style="325" customWidth="1"/>
    <col min="2058" max="2058" width="17.5" style="325" customWidth="1"/>
    <col min="2059" max="2304" width="9" style="325"/>
    <col min="2305" max="2305" width="5" style="325" customWidth="1"/>
    <col min="2306" max="2306" width="37.25" style="325" customWidth="1"/>
    <col min="2307" max="2307" width="13.75" style="325" customWidth="1"/>
    <col min="2308" max="2311" width="14.375" style="325" customWidth="1"/>
    <col min="2312" max="2312" width="12.875" style="325" customWidth="1"/>
    <col min="2313" max="2313" width="13.75" style="325" customWidth="1"/>
    <col min="2314" max="2314" width="17.5" style="325" customWidth="1"/>
    <col min="2315" max="2560" width="9" style="325"/>
    <col min="2561" max="2561" width="5" style="325" customWidth="1"/>
    <col min="2562" max="2562" width="37.25" style="325" customWidth="1"/>
    <col min="2563" max="2563" width="13.75" style="325" customWidth="1"/>
    <col min="2564" max="2567" width="14.375" style="325" customWidth="1"/>
    <col min="2568" max="2568" width="12.875" style="325" customWidth="1"/>
    <col min="2569" max="2569" width="13.75" style="325" customWidth="1"/>
    <col min="2570" max="2570" width="17.5" style="325" customWidth="1"/>
    <col min="2571" max="2816" width="9" style="325"/>
    <col min="2817" max="2817" width="5" style="325" customWidth="1"/>
    <col min="2818" max="2818" width="37.25" style="325" customWidth="1"/>
    <col min="2819" max="2819" width="13.75" style="325" customWidth="1"/>
    <col min="2820" max="2823" width="14.375" style="325" customWidth="1"/>
    <col min="2824" max="2824" width="12.875" style="325" customWidth="1"/>
    <col min="2825" max="2825" width="13.75" style="325" customWidth="1"/>
    <col min="2826" max="2826" width="17.5" style="325" customWidth="1"/>
    <col min="2827" max="3072" width="9" style="325"/>
    <col min="3073" max="3073" width="5" style="325" customWidth="1"/>
    <col min="3074" max="3074" width="37.25" style="325" customWidth="1"/>
    <col min="3075" max="3075" width="13.75" style="325" customWidth="1"/>
    <col min="3076" max="3079" width="14.375" style="325" customWidth="1"/>
    <col min="3080" max="3080" width="12.875" style="325" customWidth="1"/>
    <col min="3081" max="3081" width="13.75" style="325" customWidth="1"/>
    <col min="3082" max="3082" width="17.5" style="325" customWidth="1"/>
    <col min="3083" max="3328" width="9" style="325"/>
    <col min="3329" max="3329" width="5" style="325" customWidth="1"/>
    <col min="3330" max="3330" width="37.25" style="325" customWidth="1"/>
    <col min="3331" max="3331" width="13.75" style="325" customWidth="1"/>
    <col min="3332" max="3335" width="14.375" style="325" customWidth="1"/>
    <col min="3336" max="3336" width="12.875" style="325" customWidth="1"/>
    <col min="3337" max="3337" width="13.75" style="325" customWidth="1"/>
    <col min="3338" max="3338" width="17.5" style="325" customWidth="1"/>
    <col min="3339" max="3584" width="9" style="325"/>
    <col min="3585" max="3585" width="5" style="325" customWidth="1"/>
    <col min="3586" max="3586" width="37.25" style="325" customWidth="1"/>
    <col min="3587" max="3587" width="13.75" style="325" customWidth="1"/>
    <col min="3588" max="3591" width="14.375" style="325" customWidth="1"/>
    <col min="3592" max="3592" width="12.875" style="325" customWidth="1"/>
    <col min="3593" max="3593" width="13.75" style="325" customWidth="1"/>
    <col min="3594" max="3594" width="17.5" style="325" customWidth="1"/>
    <col min="3595" max="3840" width="9" style="325"/>
    <col min="3841" max="3841" width="5" style="325" customWidth="1"/>
    <col min="3842" max="3842" width="37.25" style="325" customWidth="1"/>
    <col min="3843" max="3843" width="13.75" style="325" customWidth="1"/>
    <col min="3844" max="3847" width="14.375" style="325" customWidth="1"/>
    <col min="3848" max="3848" width="12.875" style="325" customWidth="1"/>
    <col min="3849" max="3849" width="13.75" style="325" customWidth="1"/>
    <col min="3850" max="3850" width="17.5" style="325" customWidth="1"/>
    <col min="3851" max="4096" width="9" style="325"/>
    <col min="4097" max="4097" width="5" style="325" customWidth="1"/>
    <col min="4098" max="4098" width="37.25" style="325" customWidth="1"/>
    <col min="4099" max="4099" width="13.75" style="325" customWidth="1"/>
    <col min="4100" max="4103" width="14.375" style="325" customWidth="1"/>
    <col min="4104" max="4104" width="12.875" style="325" customWidth="1"/>
    <col min="4105" max="4105" width="13.75" style="325" customWidth="1"/>
    <col min="4106" max="4106" width="17.5" style="325" customWidth="1"/>
    <col min="4107" max="4352" width="9" style="325"/>
    <col min="4353" max="4353" width="5" style="325" customWidth="1"/>
    <col min="4354" max="4354" width="37.25" style="325" customWidth="1"/>
    <col min="4355" max="4355" width="13.75" style="325" customWidth="1"/>
    <col min="4356" max="4359" width="14.375" style="325" customWidth="1"/>
    <col min="4360" max="4360" width="12.875" style="325" customWidth="1"/>
    <col min="4361" max="4361" width="13.75" style="325" customWidth="1"/>
    <col min="4362" max="4362" width="17.5" style="325" customWidth="1"/>
    <col min="4363" max="4608" width="9" style="325"/>
    <col min="4609" max="4609" width="5" style="325" customWidth="1"/>
    <col min="4610" max="4610" width="37.25" style="325" customWidth="1"/>
    <col min="4611" max="4611" width="13.75" style="325" customWidth="1"/>
    <col min="4612" max="4615" width="14.375" style="325" customWidth="1"/>
    <col min="4616" max="4616" width="12.875" style="325" customWidth="1"/>
    <col min="4617" max="4617" width="13.75" style="325" customWidth="1"/>
    <col min="4618" max="4618" width="17.5" style="325" customWidth="1"/>
    <col min="4619" max="4864" width="9" style="325"/>
    <col min="4865" max="4865" width="5" style="325" customWidth="1"/>
    <col min="4866" max="4866" width="37.25" style="325" customWidth="1"/>
    <col min="4867" max="4867" width="13.75" style="325" customWidth="1"/>
    <col min="4868" max="4871" width="14.375" style="325" customWidth="1"/>
    <col min="4872" max="4872" width="12.875" style="325" customWidth="1"/>
    <col min="4873" max="4873" width="13.75" style="325" customWidth="1"/>
    <col min="4874" max="4874" width="17.5" style="325" customWidth="1"/>
    <col min="4875" max="5120" width="9" style="325"/>
    <col min="5121" max="5121" width="5" style="325" customWidth="1"/>
    <col min="5122" max="5122" width="37.25" style="325" customWidth="1"/>
    <col min="5123" max="5123" width="13.75" style="325" customWidth="1"/>
    <col min="5124" max="5127" width="14.375" style="325" customWidth="1"/>
    <col min="5128" max="5128" width="12.875" style="325" customWidth="1"/>
    <col min="5129" max="5129" width="13.75" style="325" customWidth="1"/>
    <col min="5130" max="5130" width="17.5" style="325" customWidth="1"/>
    <col min="5131" max="5376" width="9" style="325"/>
    <col min="5377" max="5377" width="5" style="325" customWidth="1"/>
    <col min="5378" max="5378" width="37.25" style="325" customWidth="1"/>
    <col min="5379" max="5379" width="13.75" style="325" customWidth="1"/>
    <col min="5380" max="5383" width="14.375" style="325" customWidth="1"/>
    <col min="5384" max="5384" width="12.875" style="325" customWidth="1"/>
    <col min="5385" max="5385" width="13.75" style="325" customWidth="1"/>
    <col min="5386" max="5386" width="17.5" style="325" customWidth="1"/>
    <col min="5387" max="5632" width="9" style="325"/>
    <col min="5633" max="5633" width="5" style="325" customWidth="1"/>
    <col min="5634" max="5634" width="37.25" style="325" customWidth="1"/>
    <col min="5635" max="5635" width="13.75" style="325" customWidth="1"/>
    <col min="5636" max="5639" width="14.375" style="325" customWidth="1"/>
    <col min="5640" max="5640" width="12.875" style="325" customWidth="1"/>
    <col min="5641" max="5641" width="13.75" style="325" customWidth="1"/>
    <col min="5642" max="5642" width="17.5" style="325" customWidth="1"/>
    <col min="5643" max="5888" width="9" style="325"/>
    <col min="5889" max="5889" width="5" style="325" customWidth="1"/>
    <col min="5890" max="5890" width="37.25" style="325" customWidth="1"/>
    <col min="5891" max="5891" width="13.75" style="325" customWidth="1"/>
    <col min="5892" max="5895" width="14.375" style="325" customWidth="1"/>
    <col min="5896" max="5896" width="12.875" style="325" customWidth="1"/>
    <col min="5897" max="5897" width="13.75" style="325" customWidth="1"/>
    <col min="5898" max="5898" width="17.5" style="325" customWidth="1"/>
    <col min="5899" max="6144" width="9" style="325"/>
    <col min="6145" max="6145" width="5" style="325" customWidth="1"/>
    <col min="6146" max="6146" width="37.25" style="325" customWidth="1"/>
    <col min="6147" max="6147" width="13.75" style="325" customWidth="1"/>
    <col min="6148" max="6151" width="14.375" style="325" customWidth="1"/>
    <col min="6152" max="6152" width="12.875" style="325" customWidth="1"/>
    <col min="6153" max="6153" width="13.75" style="325" customWidth="1"/>
    <col min="6154" max="6154" width="17.5" style="325" customWidth="1"/>
    <col min="6155" max="6400" width="9" style="325"/>
    <col min="6401" max="6401" width="5" style="325" customWidth="1"/>
    <col min="6402" max="6402" width="37.25" style="325" customWidth="1"/>
    <col min="6403" max="6403" width="13.75" style="325" customWidth="1"/>
    <col min="6404" max="6407" width="14.375" style="325" customWidth="1"/>
    <col min="6408" max="6408" width="12.875" style="325" customWidth="1"/>
    <col min="6409" max="6409" width="13.75" style="325" customWidth="1"/>
    <col min="6410" max="6410" width="17.5" style="325" customWidth="1"/>
    <col min="6411" max="6656" width="9" style="325"/>
    <col min="6657" max="6657" width="5" style="325" customWidth="1"/>
    <col min="6658" max="6658" width="37.25" style="325" customWidth="1"/>
    <col min="6659" max="6659" width="13.75" style="325" customWidth="1"/>
    <col min="6660" max="6663" width="14.375" style="325" customWidth="1"/>
    <col min="6664" max="6664" width="12.875" style="325" customWidth="1"/>
    <col min="6665" max="6665" width="13.75" style="325" customWidth="1"/>
    <col min="6666" max="6666" width="17.5" style="325" customWidth="1"/>
    <col min="6667" max="6912" width="9" style="325"/>
    <col min="6913" max="6913" width="5" style="325" customWidth="1"/>
    <col min="6914" max="6914" width="37.25" style="325" customWidth="1"/>
    <col min="6915" max="6915" width="13.75" style="325" customWidth="1"/>
    <col min="6916" max="6919" width="14.375" style="325" customWidth="1"/>
    <col min="6920" max="6920" width="12.875" style="325" customWidth="1"/>
    <col min="6921" max="6921" width="13.75" style="325" customWidth="1"/>
    <col min="6922" max="6922" width="17.5" style="325" customWidth="1"/>
    <col min="6923" max="7168" width="9" style="325"/>
    <col min="7169" max="7169" width="5" style="325" customWidth="1"/>
    <col min="7170" max="7170" width="37.25" style="325" customWidth="1"/>
    <col min="7171" max="7171" width="13.75" style="325" customWidth="1"/>
    <col min="7172" max="7175" width="14.375" style="325" customWidth="1"/>
    <col min="7176" max="7176" width="12.875" style="325" customWidth="1"/>
    <col min="7177" max="7177" width="13.75" style="325" customWidth="1"/>
    <col min="7178" max="7178" width="17.5" style="325" customWidth="1"/>
    <col min="7179" max="7424" width="9" style="325"/>
    <col min="7425" max="7425" width="5" style="325" customWidth="1"/>
    <col min="7426" max="7426" width="37.25" style="325" customWidth="1"/>
    <col min="7427" max="7427" width="13.75" style="325" customWidth="1"/>
    <col min="7428" max="7431" width="14.375" style="325" customWidth="1"/>
    <col min="7432" max="7432" width="12.875" style="325" customWidth="1"/>
    <col min="7433" max="7433" width="13.75" style="325" customWidth="1"/>
    <col min="7434" max="7434" width="17.5" style="325" customWidth="1"/>
    <col min="7435" max="7680" width="9" style="325"/>
    <col min="7681" max="7681" width="5" style="325" customWidth="1"/>
    <col min="7682" max="7682" width="37.25" style="325" customWidth="1"/>
    <col min="7683" max="7683" width="13.75" style="325" customWidth="1"/>
    <col min="7684" max="7687" width="14.375" style="325" customWidth="1"/>
    <col min="7688" max="7688" width="12.875" style="325" customWidth="1"/>
    <col min="7689" max="7689" width="13.75" style="325" customWidth="1"/>
    <col min="7690" max="7690" width="17.5" style="325" customWidth="1"/>
    <col min="7691" max="7936" width="9" style="325"/>
    <col min="7937" max="7937" width="5" style="325" customWidth="1"/>
    <col min="7938" max="7938" width="37.25" style="325" customWidth="1"/>
    <col min="7939" max="7939" width="13.75" style="325" customWidth="1"/>
    <col min="7940" max="7943" width="14.375" style="325" customWidth="1"/>
    <col min="7944" max="7944" width="12.875" style="325" customWidth="1"/>
    <col min="7945" max="7945" width="13.75" style="325" customWidth="1"/>
    <col min="7946" max="7946" width="17.5" style="325" customWidth="1"/>
    <col min="7947" max="8192" width="9" style="325"/>
    <col min="8193" max="8193" width="5" style="325" customWidth="1"/>
    <col min="8194" max="8194" width="37.25" style="325" customWidth="1"/>
    <col min="8195" max="8195" width="13.75" style="325" customWidth="1"/>
    <col min="8196" max="8199" width="14.375" style="325" customWidth="1"/>
    <col min="8200" max="8200" width="12.875" style="325" customWidth="1"/>
    <col min="8201" max="8201" width="13.75" style="325" customWidth="1"/>
    <col min="8202" max="8202" width="17.5" style="325" customWidth="1"/>
    <col min="8203" max="8448" width="9" style="325"/>
    <col min="8449" max="8449" width="5" style="325" customWidth="1"/>
    <col min="8450" max="8450" width="37.25" style="325" customWidth="1"/>
    <col min="8451" max="8451" width="13.75" style="325" customWidth="1"/>
    <col min="8452" max="8455" width="14.375" style="325" customWidth="1"/>
    <col min="8456" max="8456" width="12.875" style="325" customWidth="1"/>
    <col min="8457" max="8457" width="13.75" style="325" customWidth="1"/>
    <col min="8458" max="8458" width="17.5" style="325" customWidth="1"/>
    <col min="8459" max="8704" width="9" style="325"/>
    <col min="8705" max="8705" width="5" style="325" customWidth="1"/>
    <col min="8706" max="8706" width="37.25" style="325" customWidth="1"/>
    <col min="8707" max="8707" width="13.75" style="325" customWidth="1"/>
    <col min="8708" max="8711" width="14.375" style="325" customWidth="1"/>
    <col min="8712" max="8712" width="12.875" style="325" customWidth="1"/>
    <col min="8713" max="8713" width="13.75" style="325" customWidth="1"/>
    <col min="8714" max="8714" width="17.5" style="325" customWidth="1"/>
    <col min="8715" max="8960" width="9" style="325"/>
    <col min="8961" max="8961" width="5" style="325" customWidth="1"/>
    <col min="8962" max="8962" width="37.25" style="325" customWidth="1"/>
    <col min="8963" max="8963" width="13.75" style="325" customWidth="1"/>
    <col min="8964" max="8967" width="14.375" style="325" customWidth="1"/>
    <col min="8968" max="8968" width="12.875" style="325" customWidth="1"/>
    <col min="8969" max="8969" width="13.75" style="325" customWidth="1"/>
    <col min="8970" max="8970" width="17.5" style="325" customWidth="1"/>
    <col min="8971" max="9216" width="9" style="325"/>
    <col min="9217" max="9217" width="5" style="325" customWidth="1"/>
    <col min="9218" max="9218" width="37.25" style="325" customWidth="1"/>
    <col min="9219" max="9219" width="13.75" style="325" customWidth="1"/>
    <col min="9220" max="9223" width="14.375" style="325" customWidth="1"/>
    <col min="9224" max="9224" width="12.875" style="325" customWidth="1"/>
    <col min="9225" max="9225" width="13.75" style="325" customWidth="1"/>
    <col min="9226" max="9226" width="17.5" style="325" customWidth="1"/>
    <col min="9227" max="9472" width="9" style="325"/>
    <col min="9473" max="9473" width="5" style="325" customWidth="1"/>
    <col min="9474" max="9474" width="37.25" style="325" customWidth="1"/>
    <col min="9475" max="9475" width="13.75" style="325" customWidth="1"/>
    <col min="9476" max="9479" width="14.375" style="325" customWidth="1"/>
    <col min="9480" max="9480" width="12.875" style="325" customWidth="1"/>
    <col min="9481" max="9481" width="13.75" style="325" customWidth="1"/>
    <col min="9482" max="9482" width="17.5" style="325" customWidth="1"/>
    <col min="9483" max="9728" width="9" style="325"/>
    <col min="9729" max="9729" width="5" style="325" customWidth="1"/>
    <col min="9730" max="9730" width="37.25" style="325" customWidth="1"/>
    <col min="9731" max="9731" width="13.75" style="325" customWidth="1"/>
    <col min="9732" max="9735" width="14.375" style="325" customWidth="1"/>
    <col min="9736" max="9736" width="12.875" style="325" customWidth="1"/>
    <col min="9737" max="9737" width="13.75" style="325" customWidth="1"/>
    <col min="9738" max="9738" width="17.5" style="325" customWidth="1"/>
    <col min="9739" max="9984" width="9" style="325"/>
    <col min="9985" max="9985" width="5" style="325" customWidth="1"/>
    <col min="9986" max="9986" width="37.25" style="325" customWidth="1"/>
    <col min="9987" max="9987" width="13.75" style="325" customWidth="1"/>
    <col min="9988" max="9991" width="14.375" style="325" customWidth="1"/>
    <col min="9992" max="9992" width="12.875" style="325" customWidth="1"/>
    <col min="9993" max="9993" width="13.75" style="325" customWidth="1"/>
    <col min="9994" max="9994" width="17.5" style="325" customWidth="1"/>
    <col min="9995" max="10240" width="9" style="325"/>
    <col min="10241" max="10241" width="5" style="325" customWidth="1"/>
    <col min="10242" max="10242" width="37.25" style="325" customWidth="1"/>
    <col min="10243" max="10243" width="13.75" style="325" customWidth="1"/>
    <col min="10244" max="10247" width="14.375" style="325" customWidth="1"/>
    <col min="10248" max="10248" width="12.875" style="325" customWidth="1"/>
    <col min="10249" max="10249" width="13.75" style="325" customWidth="1"/>
    <col min="10250" max="10250" width="17.5" style="325" customWidth="1"/>
    <col min="10251" max="10496" width="9" style="325"/>
    <col min="10497" max="10497" width="5" style="325" customWidth="1"/>
    <col min="10498" max="10498" width="37.25" style="325" customWidth="1"/>
    <col min="10499" max="10499" width="13.75" style="325" customWidth="1"/>
    <col min="10500" max="10503" width="14.375" style="325" customWidth="1"/>
    <col min="10504" max="10504" width="12.875" style="325" customWidth="1"/>
    <col min="10505" max="10505" width="13.75" style="325" customWidth="1"/>
    <col min="10506" max="10506" width="17.5" style="325" customWidth="1"/>
    <col min="10507" max="10752" width="9" style="325"/>
    <col min="10753" max="10753" width="5" style="325" customWidth="1"/>
    <col min="10754" max="10754" width="37.25" style="325" customWidth="1"/>
    <col min="10755" max="10755" width="13.75" style="325" customWidth="1"/>
    <col min="10756" max="10759" width="14.375" style="325" customWidth="1"/>
    <col min="10760" max="10760" width="12.875" style="325" customWidth="1"/>
    <col min="10761" max="10761" width="13.75" style="325" customWidth="1"/>
    <col min="10762" max="10762" width="17.5" style="325" customWidth="1"/>
    <col min="10763" max="11008" width="9" style="325"/>
    <col min="11009" max="11009" width="5" style="325" customWidth="1"/>
    <col min="11010" max="11010" width="37.25" style="325" customWidth="1"/>
    <col min="11011" max="11011" width="13.75" style="325" customWidth="1"/>
    <col min="11012" max="11015" width="14.375" style="325" customWidth="1"/>
    <col min="11016" max="11016" width="12.875" style="325" customWidth="1"/>
    <col min="11017" max="11017" width="13.75" style="325" customWidth="1"/>
    <col min="11018" max="11018" width="17.5" style="325" customWidth="1"/>
    <col min="11019" max="11264" width="9" style="325"/>
    <col min="11265" max="11265" width="5" style="325" customWidth="1"/>
    <col min="11266" max="11266" width="37.25" style="325" customWidth="1"/>
    <col min="11267" max="11267" width="13.75" style="325" customWidth="1"/>
    <col min="11268" max="11271" width="14.375" style="325" customWidth="1"/>
    <col min="11272" max="11272" width="12.875" style="325" customWidth="1"/>
    <col min="11273" max="11273" width="13.75" style="325" customWidth="1"/>
    <col min="11274" max="11274" width="17.5" style="325" customWidth="1"/>
    <col min="11275" max="11520" width="9" style="325"/>
    <col min="11521" max="11521" width="5" style="325" customWidth="1"/>
    <col min="11522" max="11522" width="37.25" style="325" customWidth="1"/>
    <col min="11523" max="11523" width="13.75" style="325" customWidth="1"/>
    <col min="11524" max="11527" width="14.375" style="325" customWidth="1"/>
    <col min="11528" max="11528" width="12.875" style="325" customWidth="1"/>
    <col min="11529" max="11529" width="13.75" style="325" customWidth="1"/>
    <col min="11530" max="11530" width="17.5" style="325" customWidth="1"/>
    <col min="11531" max="11776" width="9" style="325"/>
    <col min="11777" max="11777" width="5" style="325" customWidth="1"/>
    <col min="11778" max="11778" width="37.25" style="325" customWidth="1"/>
    <col min="11779" max="11779" width="13.75" style="325" customWidth="1"/>
    <col min="11780" max="11783" width="14.375" style="325" customWidth="1"/>
    <col min="11784" max="11784" width="12.875" style="325" customWidth="1"/>
    <col min="11785" max="11785" width="13.75" style="325" customWidth="1"/>
    <col min="11786" max="11786" width="17.5" style="325" customWidth="1"/>
    <col min="11787" max="12032" width="9" style="325"/>
    <col min="12033" max="12033" width="5" style="325" customWidth="1"/>
    <col min="12034" max="12034" width="37.25" style="325" customWidth="1"/>
    <col min="12035" max="12035" width="13.75" style="325" customWidth="1"/>
    <col min="12036" max="12039" width="14.375" style="325" customWidth="1"/>
    <col min="12040" max="12040" width="12.875" style="325" customWidth="1"/>
    <col min="12041" max="12041" width="13.75" style="325" customWidth="1"/>
    <col min="12042" max="12042" width="17.5" style="325" customWidth="1"/>
    <col min="12043" max="12288" width="9" style="325"/>
    <col min="12289" max="12289" width="5" style="325" customWidth="1"/>
    <col min="12290" max="12290" width="37.25" style="325" customWidth="1"/>
    <col min="12291" max="12291" width="13.75" style="325" customWidth="1"/>
    <col min="12292" max="12295" width="14.375" style="325" customWidth="1"/>
    <col min="12296" max="12296" width="12.875" style="325" customWidth="1"/>
    <col min="12297" max="12297" width="13.75" style="325" customWidth="1"/>
    <col min="12298" max="12298" width="17.5" style="325" customWidth="1"/>
    <col min="12299" max="12544" width="9" style="325"/>
    <col min="12545" max="12545" width="5" style="325" customWidth="1"/>
    <col min="12546" max="12546" width="37.25" style="325" customWidth="1"/>
    <col min="12547" max="12547" width="13.75" style="325" customWidth="1"/>
    <col min="12548" max="12551" width="14.375" style="325" customWidth="1"/>
    <col min="12552" max="12552" width="12.875" style="325" customWidth="1"/>
    <col min="12553" max="12553" width="13.75" style="325" customWidth="1"/>
    <col min="12554" max="12554" width="17.5" style="325" customWidth="1"/>
    <col min="12555" max="12800" width="9" style="325"/>
    <col min="12801" max="12801" width="5" style="325" customWidth="1"/>
    <col min="12802" max="12802" width="37.25" style="325" customWidth="1"/>
    <col min="12803" max="12803" width="13.75" style="325" customWidth="1"/>
    <col min="12804" max="12807" width="14.375" style="325" customWidth="1"/>
    <col min="12808" max="12808" width="12.875" style="325" customWidth="1"/>
    <col min="12809" max="12809" width="13.75" style="325" customWidth="1"/>
    <col min="12810" max="12810" width="17.5" style="325" customWidth="1"/>
    <col min="12811" max="13056" width="9" style="325"/>
    <col min="13057" max="13057" width="5" style="325" customWidth="1"/>
    <col min="13058" max="13058" width="37.25" style="325" customWidth="1"/>
    <col min="13059" max="13059" width="13.75" style="325" customWidth="1"/>
    <col min="13060" max="13063" width="14.375" style="325" customWidth="1"/>
    <col min="13064" max="13064" width="12.875" style="325" customWidth="1"/>
    <col min="13065" max="13065" width="13.75" style="325" customWidth="1"/>
    <col min="13066" max="13066" width="17.5" style="325" customWidth="1"/>
    <col min="13067" max="13312" width="9" style="325"/>
    <col min="13313" max="13313" width="5" style="325" customWidth="1"/>
    <col min="13314" max="13314" width="37.25" style="325" customWidth="1"/>
    <col min="13315" max="13315" width="13.75" style="325" customWidth="1"/>
    <col min="13316" max="13319" width="14.375" style="325" customWidth="1"/>
    <col min="13320" max="13320" width="12.875" style="325" customWidth="1"/>
    <col min="13321" max="13321" width="13.75" style="325" customWidth="1"/>
    <col min="13322" max="13322" width="17.5" style="325" customWidth="1"/>
    <col min="13323" max="13568" width="9" style="325"/>
    <col min="13569" max="13569" width="5" style="325" customWidth="1"/>
    <col min="13570" max="13570" width="37.25" style="325" customWidth="1"/>
    <col min="13571" max="13571" width="13.75" style="325" customWidth="1"/>
    <col min="13572" max="13575" width="14.375" style="325" customWidth="1"/>
    <col min="13576" max="13576" width="12.875" style="325" customWidth="1"/>
    <col min="13577" max="13577" width="13.75" style="325" customWidth="1"/>
    <col min="13578" max="13578" width="17.5" style="325" customWidth="1"/>
    <col min="13579" max="13824" width="9" style="325"/>
    <col min="13825" max="13825" width="5" style="325" customWidth="1"/>
    <col min="13826" max="13826" width="37.25" style="325" customWidth="1"/>
    <col min="13827" max="13827" width="13.75" style="325" customWidth="1"/>
    <col min="13828" max="13831" width="14.375" style="325" customWidth="1"/>
    <col min="13832" max="13832" width="12.875" style="325" customWidth="1"/>
    <col min="13833" max="13833" width="13.75" style="325" customWidth="1"/>
    <col min="13834" max="13834" width="17.5" style="325" customWidth="1"/>
    <col min="13835" max="14080" width="9" style="325"/>
    <col min="14081" max="14081" width="5" style="325" customWidth="1"/>
    <col min="14082" max="14082" width="37.25" style="325" customWidth="1"/>
    <col min="14083" max="14083" width="13.75" style="325" customWidth="1"/>
    <col min="14084" max="14087" width="14.375" style="325" customWidth="1"/>
    <col min="14088" max="14088" width="12.875" style="325" customWidth="1"/>
    <col min="14089" max="14089" width="13.75" style="325" customWidth="1"/>
    <col min="14090" max="14090" width="17.5" style="325" customWidth="1"/>
    <col min="14091" max="14336" width="9" style="325"/>
    <col min="14337" max="14337" width="5" style="325" customWidth="1"/>
    <col min="14338" max="14338" width="37.25" style="325" customWidth="1"/>
    <col min="14339" max="14339" width="13.75" style="325" customWidth="1"/>
    <col min="14340" max="14343" width="14.375" style="325" customWidth="1"/>
    <col min="14344" max="14344" width="12.875" style="325" customWidth="1"/>
    <col min="14345" max="14345" width="13.75" style="325" customWidth="1"/>
    <col min="14346" max="14346" width="17.5" style="325" customWidth="1"/>
    <col min="14347" max="14592" width="9" style="325"/>
    <col min="14593" max="14593" width="5" style="325" customWidth="1"/>
    <col min="14594" max="14594" width="37.25" style="325" customWidth="1"/>
    <col min="14595" max="14595" width="13.75" style="325" customWidth="1"/>
    <col min="14596" max="14599" width="14.375" style="325" customWidth="1"/>
    <col min="14600" max="14600" width="12.875" style="325" customWidth="1"/>
    <col min="14601" max="14601" width="13.75" style="325" customWidth="1"/>
    <col min="14602" max="14602" width="17.5" style="325" customWidth="1"/>
    <col min="14603" max="14848" width="9" style="325"/>
    <col min="14849" max="14849" width="5" style="325" customWidth="1"/>
    <col min="14850" max="14850" width="37.25" style="325" customWidth="1"/>
    <col min="14851" max="14851" width="13.75" style="325" customWidth="1"/>
    <col min="14852" max="14855" width="14.375" style="325" customWidth="1"/>
    <col min="14856" max="14856" width="12.875" style="325" customWidth="1"/>
    <col min="14857" max="14857" width="13.75" style="325" customWidth="1"/>
    <col min="14858" max="14858" width="17.5" style="325" customWidth="1"/>
    <col min="14859" max="15104" width="9" style="325"/>
    <col min="15105" max="15105" width="5" style="325" customWidth="1"/>
    <col min="15106" max="15106" width="37.25" style="325" customWidth="1"/>
    <col min="15107" max="15107" width="13.75" style="325" customWidth="1"/>
    <col min="15108" max="15111" width="14.375" style="325" customWidth="1"/>
    <col min="15112" max="15112" width="12.875" style="325" customWidth="1"/>
    <col min="15113" max="15113" width="13.75" style="325" customWidth="1"/>
    <col min="15114" max="15114" width="17.5" style="325" customWidth="1"/>
    <col min="15115" max="15360" width="9" style="325"/>
    <col min="15361" max="15361" width="5" style="325" customWidth="1"/>
    <col min="15362" max="15362" width="37.25" style="325" customWidth="1"/>
    <col min="15363" max="15363" width="13.75" style="325" customWidth="1"/>
    <col min="15364" max="15367" width="14.375" style="325" customWidth="1"/>
    <col min="15368" max="15368" width="12.875" style="325" customWidth="1"/>
    <col min="15369" max="15369" width="13.75" style="325" customWidth="1"/>
    <col min="15370" max="15370" width="17.5" style="325" customWidth="1"/>
    <col min="15371" max="15616" width="9" style="325"/>
    <col min="15617" max="15617" width="5" style="325" customWidth="1"/>
    <col min="15618" max="15618" width="37.25" style="325" customWidth="1"/>
    <col min="15619" max="15619" width="13.75" style="325" customWidth="1"/>
    <col min="15620" max="15623" width="14.375" style="325" customWidth="1"/>
    <col min="15624" max="15624" width="12.875" style="325" customWidth="1"/>
    <col min="15625" max="15625" width="13.75" style="325" customWidth="1"/>
    <col min="15626" max="15626" width="17.5" style="325" customWidth="1"/>
    <col min="15627" max="15872" width="9" style="325"/>
    <col min="15873" max="15873" width="5" style="325" customWidth="1"/>
    <col min="15874" max="15874" width="37.25" style="325" customWidth="1"/>
    <col min="15875" max="15875" width="13.75" style="325" customWidth="1"/>
    <col min="15876" max="15879" width="14.375" style="325" customWidth="1"/>
    <col min="15880" max="15880" width="12.875" style="325" customWidth="1"/>
    <col min="15881" max="15881" width="13.75" style="325" customWidth="1"/>
    <col min="15882" max="15882" width="17.5" style="325" customWidth="1"/>
    <col min="15883" max="16128" width="9" style="325"/>
    <col min="16129" max="16129" width="5" style="325" customWidth="1"/>
    <col min="16130" max="16130" width="37.25" style="325" customWidth="1"/>
    <col min="16131" max="16131" width="13.75" style="325" customWidth="1"/>
    <col min="16132" max="16135" width="14.375" style="325" customWidth="1"/>
    <col min="16136" max="16136" width="12.875" style="325" customWidth="1"/>
    <col min="16137" max="16137" width="13.75" style="325" customWidth="1"/>
    <col min="16138" max="16138" width="17.5" style="325" customWidth="1"/>
    <col min="16139" max="16384" width="9" style="325"/>
  </cols>
  <sheetData>
    <row r="1" spans="1:10" s="298" customFormat="1" x14ac:dyDescent="0.5">
      <c r="A1" s="496" t="s">
        <v>1913</v>
      </c>
      <c r="B1" s="496"/>
      <c r="C1" s="496"/>
      <c r="D1" s="496"/>
      <c r="E1" s="496"/>
      <c r="F1" s="496"/>
      <c r="G1" s="496"/>
      <c r="H1" s="496"/>
      <c r="I1" s="496"/>
    </row>
    <row r="2" spans="1:10" s="298" customFormat="1" x14ac:dyDescent="0.5">
      <c r="A2" s="496" t="s">
        <v>2125</v>
      </c>
      <c r="B2" s="496"/>
      <c r="C2" s="496"/>
      <c r="D2" s="496"/>
      <c r="E2" s="496"/>
      <c r="F2" s="496"/>
      <c r="G2" s="496"/>
      <c r="H2" s="496"/>
      <c r="I2" s="496"/>
    </row>
    <row r="3" spans="1:10" s="298" customFormat="1" x14ac:dyDescent="0.5">
      <c r="A3" s="496" t="s">
        <v>2817</v>
      </c>
      <c r="B3" s="496"/>
      <c r="C3" s="496"/>
      <c r="D3" s="496"/>
      <c r="E3" s="496"/>
      <c r="F3" s="496"/>
      <c r="G3" s="496"/>
      <c r="H3" s="496"/>
      <c r="I3" s="496"/>
    </row>
    <row r="4" spans="1:10" s="301" customFormat="1" ht="14.25" customHeight="1" x14ac:dyDescent="0.45">
      <c r="A4" s="299"/>
      <c r="B4" s="299"/>
      <c r="C4" s="300"/>
    </row>
    <row r="5" spans="1:10" s="303" customFormat="1" ht="42" customHeight="1" x14ac:dyDescent="0.45">
      <c r="A5" s="497" t="s">
        <v>253</v>
      </c>
      <c r="B5" s="497" t="s">
        <v>1915</v>
      </c>
      <c r="C5" s="498" t="s">
        <v>263</v>
      </c>
      <c r="D5" s="499" t="s">
        <v>2148</v>
      </c>
      <c r="E5" s="499"/>
      <c r="F5" s="499"/>
      <c r="G5" s="499"/>
      <c r="H5" s="499"/>
      <c r="I5" s="500" t="s">
        <v>256</v>
      </c>
      <c r="J5" s="302"/>
    </row>
    <row r="6" spans="1:10" s="304" customFormat="1" ht="65.25" customHeight="1" x14ac:dyDescent="0.2">
      <c r="A6" s="497"/>
      <c r="B6" s="497"/>
      <c r="C6" s="498"/>
      <c r="D6" s="503" t="s">
        <v>2239</v>
      </c>
      <c r="E6" s="504"/>
      <c r="F6" s="505" t="s">
        <v>265</v>
      </c>
      <c r="G6" s="506"/>
      <c r="H6" s="507"/>
      <c r="I6" s="501"/>
    </row>
    <row r="7" spans="1:10" s="303" customFormat="1" ht="36" customHeight="1" x14ac:dyDescent="0.45">
      <c r="A7" s="497"/>
      <c r="B7" s="497"/>
      <c r="C7" s="498"/>
      <c r="D7" s="305" t="s">
        <v>1916</v>
      </c>
      <c r="E7" s="305" t="s">
        <v>1917</v>
      </c>
      <c r="F7" s="306" t="s">
        <v>1916</v>
      </c>
      <c r="G7" s="306" t="s">
        <v>1917</v>
      </c>
      <c r="H7" s="306" t="s">
        <v>1918</v>
      </c>
      <c r="I7" s="502"/>
      <c r="J7" s="302"/>
    </row>
    <row r="8" spans="1:10" s="310" customFormat="1" ht="20.25" customHeight="1" x14ac:dyDescent="0.2">
      <c r="A8" s="307">
        <v>1</v>
      </c>
      <c r="B8" s="308" t="s">
        <v>739</v>
      </c>
      <c r="C8" s="309">
        <v>2977530</v>
      </c>
      <c r="D8" s="309">
        <v>450</v>
      </c>
      <c r="E8" s="309">
        <v>450</v>
      </c>
      <c r="F8" s="309">
        <v>0</v>
      </c>
      <c r="G8" s="309">
        <v>85000</v>
      </c>
      <c r="H8" s="309"/>
      <c r="I8" s="309">
        <v>2891630</v>
      </c>
    </row>
    <row r="9" spans="1:10" s="313" customFormat="1" ht="20.25" customHeight="1" x14ac:dyDescent="0.2">
      <c r="A9" s="307">
        <v>2</v>
      </c>
      <c r="B9" s="308" t="s">
        <v>360</v>
      </c>
      <c r="C9" s="312">
        <v>1854502</v>
      </c>
      <c r="D9" s="312">
        <v>44376</v>
      </c>
      <c r="E9" s="312">
        <v>44376</v>
      </c>
      <c r="F9" s="312">
        <v>63654.5</v>
      </c>
      <c r="G9" s="312">
        <v>63654.5</v>
      </c>
      <c r="H9" s="312"/>
      <c r="I9" s="309">
        <v>1638441</v>
      </c>
    </row>
    <row r="10" spans="1:10" s="426" customFormat="1" ht="20.25" customHeight="1" x14ac:dyDescent="0.2">
      <c r="A10" s="307">
        <v>3</v>
      </c>
      <c r="B10" s="423" t="s">
        <v>2126</v>
      </c>
      <c r="C10" s="424">
        <v>427500</v>
      </c>
      <c r="D10" s="424">
        <v>0</v>
      </c>
      <c r="E10" s="424">
        <v>0</v>
      </c>
      <c r="F10" s="424">
        <v>21375</v>
      </c>
      <c r="G10" s="424">
        <v>21375</v>
      </c>
      <c r="H10" s="424"/>
      <c r="I10" s="425">
        <v>384750</v>
      </c>
    </row>
    <row r="11" spans="1:10" s="426" customFormat="1" ht="20.25" customHeight="1" x14ac:dyDescent="0.2">
      <c r="A11" s="307">
        <v>4</v>
      </c>
      <c r="B11" s="423" t="s">
        <v>161</v>
      </c>
      <c r="C11" s="424">
        <v>6477213</v>
      </c>
      <c r="D11" s="424">
        <v>171800</v>
      </c>
      <c r="E11" s="424">
        <v>171800</v>
      </c>
      <c r="F11" s="424">
        <v>111406</v>
      </c>
      <c r="G11" s="424">
        <v>196406</v>
      </c>
      <c r="H11" s="424"/>
      <c r="I11" s="425">
        <v>5825801</v>
      </c>
    </row>
    <row r="12" spans="1:10" s="429" customFormat="1" ht="20.25" customHeight="1" x14ac:dyDescent="0.2">
      <c r="A12" s="307">
        <v>5</v>
      </c>
      <c r="B12" s="427" t="s">
        <v>156</v>
      </c>
      <c r="C12" s="428">
        <v>3238190</v>
      </c>
      <c r="D12" s="428">
        <v>0</v>
      </c>
      <c r="E12" s="428">
        <v>0</v>
      </c>
      <c r="F12" s="428">
        <v>123050</v>
      </c>
      <c r="G12" s="428">
        <v>123050</v>
      </c>
      <c r="H12" s="428"/>
      <c r="I12" s="425">
        <v>2992090</v>
      </c>
    </row>
    <row r="13" spans="1:10" s="313" customFormat="1" ht="20.25" customHeight="1" x14ac:dyDescent="0.2">
      <c r="A13" s="307">
        <v>6</v>
      </c>
      <c r="B13" s="308" t="s">
        <v>2434</v>
      </c>
      <c r="C13" s="312">
        <v>10008958.6</v>
      </c>
      <c r="D13" s="312">
        <v>205554.598</v>
      </c>
      <c r="E13" s="312">
        <v>205554.598</v>
      </c>
      <c r="F13" s="312">
        <v>138861</v>
      </c>
      <c r="G13" s="312">
        <v>266361</v>
      </c>
      <c r="H13" s="312"/>
      <c r="I13" s="309">
        <v>9192627.4039999992</v>
      </c>
    </row>
    <row r="14" spans="1:10" s="313" customFormat="1" ht="20.25" customHeight="1" x14ac:dyDescent="0.2">
      <c r="A14" s="307">
        <v>7</v>
      </c>
      <c r="B14" s="308" t="s">
        <v>1229</v>
      </c>
      <c r="C14" s="312">
        <v>535763</v>
      </c>
      <c r="D14" s="312">
        <v>88000</v>
      </c>
      <c r="E14" s="312">
        <v>88000</v>
      </c>
      <c r="F14" s="312">
        <v>8407.5</v>
      </c>
      <c r="G14" s="312">
        <v>8407.5</v>
      </c>
      <c r="H14" s="312"/>
      <c r="I14" s="309">
        <v>342948</v>
      </c>
    </row>
    <row r="15" spans="1:10" s="313" customFormat="1" ht="20.25" customHeight="1" x14ac:dyDescent="0.2">
      <c r="A15" s="307">
        <v>8</v>
      </c>
      <c r="B15" s="308" t="s">
        <v>19</v>
      </c>
      <c r="C15" s="312">
        <v>3157400</v>
      </c>
      <c r="D15" s="312">
        <v>13500</v>
      </c>
      <c r="E15" s="312">
        <v>13500</v>
      </c>
      <c r="F15" s="312">
        <v>49950</v>
      </c>
      <c r="G15" s="312">
        <v>49950</v>
      </c>
      <c r="H15" s="312"/>
      <c r="I15" s="309">
        <v>3030500</v>
      </c>
    </row>
    <row r="16" spans="1:10" s="313" customFormat="1" ht="20.25" customHeight="1" x14ac:dyDescent="0.2">
      <c r="A16" s="307">
        <v>9</v>
      </c>
      <c r="B16" s="308" t="s">
        <v>117</v>
      </c>
      <c r="C16" s="312">
        <v>4633050</v>
      </c>
      <c r="D16" s="312">
        <v>207750</v>
      </c>
      <c r="E16" s="312">
        <v>207750</v>
      </c>
      <c r="F16" s="312">
        <v>9500</v>
      </c>
      <c r="G16" s="312">
        <v>9500</v>
      </c>
      <c r="H16" s="312"/>
      <c r="I16" s="309">
        <v>4198550</v>
      </c>
    </row>
    <row r="17" spans="1:9" s="313" customFormat="1" ht="20.25" customHeight="1" x14ac:dyDescent="0.2">
      <c r="A17" s="307">
        <v>10</v>
      </c>
      <c r="B17" s="308" t="s">
        <v>2818</v>
      </c>
      <c r="C17" s="312">
        <v>1269250</v>
      </c>
      <c r="D17" s="312">
        <v>0</v>
      </c>
      <c r="E17" s="312">
        <v>0</v>
      </c>
      <c r="F17" s="312">
        <v>0</v>
      </c>
      <c r="G17" s="312">
        <v>0</v>
      </c>
      <c r="H17" s="312"/>
      <c r="I17" s="309">
        <v>1269250</v>
      </c>
    </row>
    <row r="18" spans="1:9" s="313" customFormat="1" ht="20.25" customHeight="1" x14ac:dyDescent="0.2">
      <c r="A18" s="307">
        <v>11</v>
      </c>
      <c r="B18" s="308" t="s">
        <v>706</v>
      </c>
      <c r="C18" s="312">
        <v>1747532</v>
      </c>
      <c r="D18" s="312">
        <v>0</v>
      </c>
      <c r="E18" s="312">
        <v>0</v>
      </c>
      <c r="F18" s="312">
        <v>6750</v>
      </c>
      <c r="G18" s="312">
        <v>6750</v>
      </c>
      <c r="H18" s="312"/>
      <c r="I18" s="309">
        <v>1734032</v>
      </c>
    </row>
    <row r="19" spans="1:9" s="313" customFormat="1" ht="20.25" customHeight="1" x14ac:dyDescent="0.2">
      <c r="A19" s="307">
        <v>12</v>
      </c>
      <c r="B19" s="308" t="s">
        <v>923</v>
      </c>
      <c r="C19" s="312">
        <v>309000</v>
      </c>
      <c r="D19" s="312">
        <v>0</v>
      </c>
      <c r="E19" s="312">
        <v>0</v>
      </c>
      <c r="F19" s="312">
        <v>0</v>
      </c>
      <c r="G19" s="312">
        <v>0</v>
      </c>
      <c r="H19" s="312"/>
      <c r="I19" s="309">
        <v>309000</v>
      </c>
    </row>
    <row r="20" spans="1:9" s="317" customFormat="1" ht="20.25" customHeight="1" x14ac:dyDescent="0.2">
      <c r="A20" s="307">
        <v>13</v>
      </c>
      <c r="B20" s="308" t="s">
        <v>2554</v>
      </c>
      <c r="C20" s="312">
        <v>8243330</v>
      </c>
      <c r="D20" s="312">
        <v>0</v>
      </c>
      <c r="E20" s="312">
        <v>0</v>
      </c>
      <c r="F20" s="312">
        <v>425000</v>
      </c>
      <c r="G20" s="312">
        <v>127500</v>
      </c>
      <c r="H20" s="312"/>
      <c r="I20" s="309">
        <v>7690830</v>
      </c>
    </row>
    <row r="21" spans="1:9" s="313" customFormat="1" ht="20.25" customHeight="1" x14ac:dyDescent="0.2">
      <c r="A21" s="307">
        <v>14</v>
      </c>
      <c r="B21" s="308" t="s">
        <v>2149</v>
      </c>
      <c r="C21" s="312">
        <v>684000</v>
      </c>
      <c r="D21" s="312">
        <v>34200</v>
      </c>
      <c r="E21" s="312">
        <v>34200</v>
      </c>
      <c r="F21" s="312">
        <v>0</v>
      </c>
      <c r="G21" s="312">
        <v>0</v>
      </c>
      <c r="H21" s="312"/>
      <c r="I21" s="309">
        <v>615600</v>
      </c>
    </row>
    <row r="22" spans="1:9" s="317" customFormat="1" ht="20.25" customHeight="1" x14ac:dyDescent="0.2">
      <c r="A22" s="307">
        <v>15</v>
      </c>
      <c r="B22" s="315" t="s">
        <v>2467</v>
      </c>
      <c r="C22" s="316">
        <v>1185800</v>
      </c>
      <c r="D22" s="316">
        <v>0</v>
      </c>
      <c r="E22" s="316">
        <v>0</v>
      </c>
      <c r="F22" s="316">
        <v>0</v>
      </c>
      <c r="G22" s="316">
        <v>0</v>
      </c>
      <c r="H22" s="316"/>
      <c r="I22" s="309">
        <v>1185800</v>
      </c>
    </row>
    <row r="23" spans="1:9" s="322" customFormat="1" ht="22.5" customHeight="1" x14ac:dyDescent="0.45">
      <c r="A23" s="307">
        <v>16</v>
      </c>
      <c r="B23" s="420" t="s">
        <v>2555</v>
      </c>
      <c r="C23" s="421">
        <v>4407293.5</v>
      </c>
      <c r="D23" s="421">
        <v>0</v>
      </c>
      <c r="E23" s="421">
        <v>0</v>
      </c>
      <c r="F23" s="421">
        <v>0</v>
      </c>
      <c r="G23" s="421">
        <v>0</v>
      </c>
      <c r="H23" s="421"/>
      <c r="I23" s="422">
        <v>4407293.5</v>
      </c>
    </row>
    <row r="24" spans="1:9" ht="24" thickBot="1" x14ac:dyDescent="0.55000000000000004">
      <c r="A24" s="494" t="s">
        <v>1919</v>
      </c>
      <c r="B24" s="495"/>
      <c r="C24" s="318">
        <f>SUM(C8:C23)</f>
        <v>51156312.100000001</v>
      </c>
      <c r="D24" s="319">
        <f>SUM(D8:D23)</f>
        <v>765630.598</v>
      </c>
      <c r="E24" s="319">
        <f>SUM(E8:E23)</f>
        <v>765630.598</v>
      </c>
      <c r="F24" s="320">
        <f>SUM(F8:F23)</f>
        <v>957954</v>
      </c>
      <c r="G24" s="320">
        <f>SUM(G8:G23)</f>
        <v>957954</v>
      </c>
      <c r="H24" s="320"/>
      <c r="I24" s="321">
        <f>SUM(I8:I23)</f>
        <v>47709142.903999999</v>
      </c>
    </row>
    <row r="25" spans="1:9" s="313" customFormat="1" ht="20.25" customHeight="1" thickTop="1" x14ac:dyDescent="0.5">
      <c r="A25" s="323"/>
      <c r="B25" s="323"/>
      <c r="C25" s="324"/>
      <c r="D25" s="325"/>
      <c r="E25" s="325"/>
      <c r="F25" s="325"/>
      <c r="G25" s="325"/>
      <c r="H25" s="325"/>
      <c r="I25" s="325"/>
    </row>
    <row r="26" spans="1:9" x14ac:dyDescent="0.5">
      <c r="C26" s="333"/>
      <c r="D26" s="333"/>
      <c r="E26" s="333"/>
      <c r="F26" s="333"/>
      <c r="G26" s="333"/>
      <c r="H26" s="333"/>
      <c r="I26" s="333"/>
    </row>
    <row r="27" spans="1:9" x14ac:dyDescent="0.5">
      <c r="C27" s="373"/>
      <c r="D27" s="373"/>
      <c r="E27" s="373"/>
      <c r="F27" s="373"/>
      <c r="G27" s="373"/>
      <c r="H27" s="373"/>
      <c r="I27" s="373"/>
    </row>
    <row r="30" spans="1:9" x14ac:dyDescent="0.5">
      <c r="D30" s="324"/>
      <c r="E30" s="324"/>
      <c r="F30" s="324"/>
      <c r="G30" s="324"/>
      <c r="H30" s="324"/>
      <c r="I30" s="324"/>
    </row>
  </sheetData>
  <mergeCells count="11">
    <mergeCell ref="A24:B24"/>
    <mergeCell ref="A1:I1"/>
    <mergeCell ref="A2:I2"/>
    <mergeCell ref="A3:I3"/>
    <mergeCell ref="A5:A7"/>
    <mergeCell ref="B5:B7"/>
    <mergeCell ref="C5:C7"/>
    <mergeCell ref="D5:H5"/>
    <mergeCell ref="I5:I7"/>
    <mergeCell ref="D6:E6"/>
    <mergeCell ref="F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67"/>
  <sheetViews>
    <sheetView workbookViewId="0">
      <pane xSplit="9" ySplit="7" topLeftCell="J8" activePane="bottomRight" state="frozen"/>
      <selection pane="topRight" activeCell="J1" sqref="J1"/>
      <selection pane="bottomLeft" activeCell="A8" sqref="A8"/>
      <selection pane="bottomRight" activeCell="A8" sqref="A8"/>
    </sheetView>
  </sheetViews>
  <sheetFormatPr defaultRowHeight="18.75" x14ac:dyDescent="0.4"/>
  <cols>
    <col min="1" max="1" width="4.625" style="366" customWidth="1"/>
    <col min="2" max="2" width="9.125" style="367" customWidth="1"/>
    <col min="3" max="3" width="12.125" style="366" customWidth="1"/>
    <col min="4" max="4" width="17.375" style="366" customWidth="1"/>
    <col min="5" max="5" width="22.625" style="331" customWidth="1"/>
    <col min="6" max="7" width="17.125" style="332" customWidth="1"/>
    <col min="8" max="8" width="28.125" style="332" customWidth="1"/>
    <col min="9" max="9" width="12.625" style="369" customWidth="1"/>
    <col min="10" max="13" width="11.625" style="328" customWidth="1"/>
    <col min="14" max="14" width="9.625" style="430" customWidth="1"/>
    <col min="15" max="15" width="11.625" style="328" customWidth="1"/>
    <col min="16" max="256" width="9" style="328"/>
    <col min="257" max="257" width="4.625" style="328" customWidth="1"/>
    <col min="258" max="258" width="9.125" style="328" customWidth="1"/>
    <col min="259" max="259" width="12.125" style="328" customWidth="1"/>
    <col min="260" max="260" width="17.375" style="328" customWidth="1"/>
    <col min="261" max="261" width="22.625" style="328" customWidth="1"/>
    <col min="262" max="263" width="17.125" style="328" customWidth="1"/>
    <col min="264" max="264" width="28.125" style="328" customWidth="1"/>
    <col min="265" max="265" width="12.625" style="328" customWidth="1"/>
    <col min="266" max="269" width="11.625" style="328" customWidth="1"/>
    <col min="270" max="270" width="9.625" style="328" customWidth="1"/>
    <col min="271" max="271" width="11.625" style="328" customWidth="1"/>
    <col min="272" max="512" width="9" style="328"/>
    <col min="513" max="513" width="4.625" style="328" customWidth="1"/>
    <col min="514" max="514" width="9.125" style="328" customWidth="1"/>
    <col min="515" max="515" width="12.125" style="328" customWidth="1"/>
    <col min="516" max="516" width="17.375" style="328" customWidth="1"/>
    <col min="517" max="517" width="22.625" style="328" customWidth="1"/>
    <col min="518" max="519" width="17.125" style="328" customWidth="1"/>
    <col min="520" max="520" width="28.125" style="328" customWidth="1"/>
    <col min="521" max="521" width="12.625" style="328" customWidth="1"/>
    <col min="522" max="525" width="11.625" style="328" customWidth="1"/>
    <col min="526" max="526" width="9.625" style="328" customWidth="1"/>
    <col min="527" max="527" width="11.625" style="328" customWidth="1"/>
    <col min="528" max="768" width="9" style="328"/>
    <col min="769" max="769" width="4.625" style="328" customWidth="1"/>
    <col min="770" max="770" width="9.125" style="328" customWidth="1"/>
    <col min="771" max="771" width="12.125" style="328" customWidth="1"/>
    <col min="772" max="772" width="17.375" style="328" customWidth="1"/>
    <col min="773" max="773" width="22.625" style="328" customWidth="1"/>
    <col min="774" max="775" width="17.125" style="328" customWidth="1"/>
    <col min="776" max="776" width="28.125" style="328" customWidth="1"/>
    <col min="777" max="777" width="12.625" style="328" customWidth="1"/>
    <col min="778" max="781" width="11.625" style="328" customWidth="1"/>
    <col min="782" max="782" width="9.625" style="328" customWidth="1"/>
    <col min="783" max="783" width="11.625" style="328" customWidth="1"/>
    <col min="784" max="1024" width="9" style="328"/>
    <col min="1025" max="1025" width="4.625" style="328" customWidth="1"/>
    <col min="1026" max="1026" width="9.125" style="328" customWidth="1"/>
    <col min="1027" max="1027" width="12.125" style="328" customWidth="1"/>
    <col min="1028" max="1028" width="17.375" style="328" customWidth="1"/>
    <col min="1029" max="1029" width="22.625" style="328" customWidth="1"/>
    <col min="1030" max="1031" width="17.125" style="328" customWidth="1"/>
    <col min="1032" max="1032" width="28.125" style="328" customWidth="1"/>
    <col min="1033" max="1033" width="12.625" style="328" customWidth="1"/>
    <col min="1034" max="1037" width="11.625" style="328" customWidth="1"/>
    <col min="1038" max="1038" width="9.625" style="328" customWidth="1"/>
    <col min="1039" max="1039" width="11.625" style="328" customWidth="1"/>
    <col min="1040" max="1280" width="9" style="328"/>
    <col min="1281" max="1281" width="4.625" style="328" customWidth="1"/>
    <col min="1282" max="1282" width="9.125" style="328" customWidth="1"/>
    <col min="1283" max="1283" width="12.125" style="328" customWidth="1"/>
    <col min="1284" max="1284" width="17.375" style="328" customWidth="1"/>
    <col min="1285" max="1285" width="22.625" style="328" customWidth="1"/>
    <col min="1286" max="1287" width="17.125" style="328" customWidth="1"/>
    <col min="1288" max="1288" width="28.125" style="328" customWidth="1"/>
    <col min="1289" max="1289" width="12.625" style="328" customWidth="1"/>
    <col min="1290" max="1293" width="11.625" style="328" customWidth="1"/>
    <col min="1294" max="1294" width="9.625" style="328" customWidth="1"/>
    <col min="1295" max="1295" width="11.625" style="328" customWidth="1"/>
    <col min="1296" max="1536" width="9" style="328"/>
    <col min="1537" max="1537" width="4.625" style="328" customWidth="1"/>
    <col min="1538" max="1538" width="9.125" style="328" customWidth="1"/>
    <col min="1539" max="1539" width="12.125" style="328" customWidth="1"/>
    <col min="1540" max="1540" width="17.375" style="328" customWidth="1"/>
    <col min="1541" max="1541" width="22.625" style="328" customWidth="1"/>
    <col min="1542" max="1543" width="17.125" style="328" customWidth="1"/>
    <col min="1544" max="1544" width="28.125" style="328" customWidth="1"/>
    <col min="1545" max="1545" width="12.625" style="328" customWidth="1"/>
    <col min="1546" max="1549" width="11.625" style="328" customWidth="1"/>
    <col min="1550" max="1550" width="9.625" style="328" customWidth="1"/>
    <col min="1551" max="1551" width="11.625" style="328" customWidth="1"/>
    <col min="1552" max="1792" width="9" style="328"/>
    <col min="1793" max="1793" width="4.625" style="328" customWidth="1"/>
    <col min="1794" max="1794" width="9.125" style="328" customWidth="1"/>
    <col min="1795" max="1795" width="12.125" style="328" customWidth="1"/>
    <col min="1796" max="1796" width="17.375" style="328" customWidth="1"/>
    <col min="1797" max="1797" width="22.625" style="328" customWidth="1"/>
    <col min="1798" max="1799" width="17.125" style="328" customWidth="1"/>
    <col min="1800" max="1800" width="28.125" style="328" customWidth="1"/>
    <col min="1801" max="1801" width="12.625" style="328" customWidth="1"/>
    <col min="1802" max="1805" width="11.625" style="328" customWidth="1"/>
    <col min="1806" max="1806" width="9.625" style="328" customWidth="1"/>
    <col min="1807" max="1807" width="11.625" style="328" customWidth="1"/>
    <col min="1808" max="2048" width="9" style="328"/>
    <col min="2049" max="2049" width="4.625" style="328" customWidth="1"/>
    <col min="2050" max="2050" width="9.125" style="328" customWidth="1"/>
    <col min="2051" max="2051" width="12.125" style="328" customWidth="1"/>
    <col min="2052" max="2052" width="17.375" style="328" customWidth="1"/>
    <col min="2053" max="2053" width="22.625" style="328" customWidth="1"/>
    <col min="2054" max="2055" width="17.125" style="328" customWidth="1"/>
    <col min="2056" max="2056" width="28.125" style="328" customWidth="1"/>
    <col min="2057" max="2057" width="12.625" style="328" customWidth="1"/>
    <col min="2058" max="2061" width="11.625" style="328" customWidth="1"/>
    <col min="2062" max="2062" width="9.625" style="328" customWidth="1"/>
    <col min="2063" max="2063" width="11.625" style="328" customWidth="1"/>
    <col min="2064" max="2304" width="9" style="328"/>
    <col min="2305" max="2305" width="4.625" style="328" customWidth="1"/>
    <col min="2306" max="2306" width="9.125" style="328" customWidth="1"/>
    <col min="2307" max="2307" width="12.125" style="328" customWidth="1"/>
    <col min="2308" max="2308" width="17.375" style="328" customWidth="1"/>
    <col min="2309" max="2309" width="22.625" style="328" customWidth="1"/>
    <col min="2310" max="2311" width="17.125" style="328" customWidth="1"/>
    <col min="2312" max="2312" width="28.125" style="328" customWidth="1"/>
    <col min="2313" max="2313" width="12.625" style="328" customWidth="1"/>
    <col min="2314" max="2317" width="11.625" style="328" customWidth="1"/>
    <col min="2318" max="2318" width="9.625" style="328" customWidth="1"/>
    <col min="2319" max="2319" width="11.625" style="328" customWidth="1"/>
    <col min="2320" max="2560" width="9" style="328"/>
    <col min="2561" max="2561" width="4.625" style="328" customWidth="1"/>
    <col min="2562" max="2562" width="9.125" style="328" customWidth="1"/>
    <col min="2563" max="2563" width="12.125" style="328" customWidth="1"/>
    <col min="2564" max="2564" width="17.375" style="328" customWidth="1"/>
    <col min="2565" max="2565" width="22.625" style="328" customWidth="1"/>
    <col min="2566" max="2567" width="17.125" style="328" customWidth="1"/>
    <col min="2568" max="2568" width="28.125" style="328" customWidth="1"/>
    <col min="2569" max="2569" width="12.625" style="328" customWidth="1"/>
    <col min="2570" max="2573" width="11.625" style="328" customWidth="1"/>
    <col min="2574" max="2574" width="9.625" style="328" customWidth="1"/>
    <col min="2575" max="2575" width="11.625" style="328" customWidth="1"/>
    <col min="2576" max="2816" width="9" style="328"/>
    <col min="2817" max="2817" width="4.625" style="328" customWidth="1"/>
    <col min="2818" max="2818" width="9.125" style="328" customWidth="1"/>
    <col min="2819" max="2819" width="12.125" style="328" customWidth="1"/>
    <col min="2820" max="2820" width="17.375" style="328" customWidth="1"/>
    <col min="2821" max="2821" width="22.625" style="328" customWidth="1"/>
    <col min="2822" max="2823" width="17.125" style="328" customWidth="1"/>
    <col min="2824" max="2824" width="28.125" style="328" customWidth="1"/>
    <col min="2825" max="2825" width="12.625" style="328" customWidth="1"/>
    <col min="2826" max="2829" width="11.625" style="328" customWidth="1"/>
    <col min="2830" max="2830" width="9.625" style="328" customWidth="1"/>
    <col min="2831" max="2831" width="11.625" style="328" customWidth="1"/>
    <col min="2832" max="3072" width="9" style="328"/>
    <col min="3073" max="3073" width="4.625" style="328" customWidth="1"/>
    <col min="3074" max="3074" width="9.125" style="328" customWidth="1"/>
    <col min="3075" max="3075" width="12.125" style="328" customWidth="1"/>
    <col min="3076" max="3076" width="17.375" style="328" customWidth="1"/>
    <col min="3077" max="3077" width="22.625" style="328" customWidth="1"/>
    <col min="3078" max="3079" width="17.125" style="328" customWidth="1"/>
    <col min="3080" max="3080" width="28.125" style="328" customWidth="1"/>
    <col min="3081" max="3081" width="12.625" style="328" customWidth="1"/>
    <col min="3082" max="3085" width="11.625" style="328" customWidth="1"/>
    <col min="3086" max="3086" width="9.625" style="328" customWidth="1"/>
    <col min="3087" max="3087" width="11.625" style="328" customWidth="1"/>
    <col min="3088" max="3328" width="9" style="328"/>
    <col min="3329" max="3329" width="4.625" style="328" customWidth="1"/>
    <col min="3330" max="3330" width="9.125" style="328" customWidth="1"/>
    <col min="3331" max="3331" width="12.125" style="328" customWidth="1"/>
    <col min="3332" max="3332" width="17.375" style="328" customWidth="1"/>
    <col min="3333" max="3333" width="22.625" style="328" customWidth="1"/>
    <col min="3334" max="3335" width="17.125" style="328" customWidth="1"/>
    <col min="3336" max="3336" width="28.125" style="328" customWidth="1"/>
    <col min="3337" max="3337" width="12.625" style="328" customWidth="1"/>
    <col min="3338" max="3341" width="11.625" style="328" customWidth="1"/>
    <col min="3342" max="3342" width="9.625" style="328" customWidth="1"/>
    <col min="3343" max="3343" width="11.625" style="328" customWidth="1"/>
    <col min="3344" max="3584" width="9" style="328"/>
    <col min="3585" max="3585" width="4.625" style="328" customWidth="1"/>
    <col min="3586" max="3586" width="9.125" style="328" customWidth="1"/>
    <col min="3587" max="3587" width="12.125" style="328" customWidth="1"/>
    <col min="3588" max="3588" width="17.375" style="328" customWidth="1"/>
    <col min="3589" max="3589" width="22.625" style="328" customWidth="1"/>
    <col min="3590" max="3591" width="17.125" style="328" customWidth="1"/>
    <col min="3592" max="3592" width="28.125" style="328" customWidth="1"/>
    <col min="3593" max="3593" width="12.625" style="328" customWidth="1"/>
    <col min="3594" max="3597" width="11.625" style="328" customWidth="1"/>
    <col min="3598" max="3598" width="9.625" style="328" customWidth="1"/>
    <col min="3599" max="3599" width="11.625" style="328" customWidth="1"/>
    <col min="3600" max="3840" width="9" style="328"/>
    <col min="3841" max="3841" width="4.625" style="328" customWidth="1"/>
    <col min="3842" max="3842" width="9.125" style="328" customWidth="1"/>
    <col min="3843" max="3843" width="12.125" style="328" customWidth="1"/>
    <col min="3844" max="3844" width="17.375" style="328" customWidth="1"/>
    <col min="3845" max="3845" width="22.625" style="328" customWidth="1"/>
    <col min="3846" max="3847" width="17.125" style="328" customWidth="1"/>
    <col min="3848" max="3848" width="28.125" style="328" customWidth="1"/>
    <col min="3849" max="3849" width="12.625" style="328" customWidth="1"/>
    <col min="3850" max="3853" width="11.625" style="328" customWidth="1"/>
    <col min="3854" max="3854" width="9.625" style="328" customWidth="1"/>
    <col min="3855" max="3855" width="11.625" style="328" customWidth="1"/>
    <col min="3856" max="4096" width="9" style="328"/>
    <col min="4097" max="4097" width="4.625" style="328" customWidth="1"/>
    <col min="4098" max="4098" width="9.125" style="328" customWidth="1"/>
    <col min="4099" max="4099" width="12.125" style="328" customWidth="1"/>
    <col min="4100" max="4100" width="17.375" style="328" customWidth="1"/>
    <col min="4101" max="4101" width="22.625" style="328" customWidth="1"/>
    <col min="4102" max="4103" width="17.125" style="328" customWidth="1"/>
    <col min="4104" max="4104" width="28.125" style="328" customWidth="1"/>
    <col min="4105" max="4105" width="12.625" style="328" customWidth="1"/>
    <col min="4106" max="4109" width="11.625" style="328" customWidth="1"/>
    <col min="4110" max="4110" width="9.625" style="328" customWidth="1"/>
    <col min="4111" max="4111" width="11.625" style="328" customWidth="1"/>
    <col min="4112" max="4352" width="9" style="328"/>
    <col min="4353" max="4353" width="4.625" style="328" customWidth="1"/>
    <col min="4354" max="4354" width="9.125" style="328" customWidth="1"/>
    <col min="4355" max="4355" width="12.125" style="328" customWidth="1"/>
    <col min="4356" max="4356" width="17.375" style="328" customWidth="1"/>
    <col min="4357" max="4357" width="22.625" style="328" customWidth="1"/>
    <col min="4358" max="4359" width="17.125" style="328" customWidth="1"/>
    <col min="4360" max="4360" width="28.125" style="328" customWidth="1"/>
    <col min="4361" max="4361" width="12.625" style="328" customWidth="1"/>
    <col min="4362" max="4365" width="11.625" style="328" customWidth="1"/>
    <col min="4366" max="4366" width="9.625" style="328" customWidth="1"/>
    <col min="4367" max="4367" width="11.625" style="328" customWidth="1"/>
    <col min="4368" max="4608" width="9" style="328"/>
    <col min="4609" max="4609" width="4.625" style="328" customWidth="1"/>
    <col min="4610" max="4610" width="9.125" style="328" customWidth="1"/>
    <col min="4611" max="4611" width="12.125" style="328" customWidth="1"/>
    <col min="4612" max="4612" width="17.375" style="328" customWidth="1"/>
    <col min="4613" max="4613" width="22.625" style="328" customWidth="1"/>
    <col min="4614" max="4615" width="17.125" style="328" customWidth="1"/>
    <col min="4616" max="4616" width="28.125" style="328" customWidth="1"/>
    <col min="4617" max="4617" width="12.625" style="328" customWidth="1"/>
    <col min="4618" max="4621" width="11.625" style="328" customWidth="1"/>
    <col min="4622" max="4622" width="9.625" style="328" customWidth="1"/>
    <col min="4623" max="4623" width="11.625" style="328" customWidth="1"/>
    <col min="4624" max="4864" width="9" style="328"/>
    <col min="4865" max="4865" width="4.625" style="328" customWidth="1"/>
    <col min="4866" max="4866" width="9.125" style="328" customWidth="1"/>
    <col min="4867" max="4867" width="12.125" style="328" customWidth="1"/>
    <col min="4868" max="4868" width="17.375" style="328" customWidth="1"/>
    <col min="4869" max="4869" width="22.625" style="328" customWidth="1"/>
    <col min="4870" max="4871" width="17.125" style="328" customWidth="1"/>
    <col min="4872" max="4872" width="28.125" style="328" customWidth="1"/>
    <col min="4873" max="4873" width="12.625" style="328" customWidth="1"/>
    <col min="4874" max="4877" width="11.625" style="328" customWidth="1"/>
    <col min="4878" max="4878" width="9.625" style="328" customWidth="1"/>
    <col min="4879" max="4879" width="11.625" style="328" customWidth="1"/>
    <col min="4880" max="5120" width="9" style="328"/>
    <col min="5121" max="5121" width="4.625" style="328" customWidth="1"/>
    <col min="5122" max="5122" width="9.125" style="328" customWidth="1"/>
    <col min="5123" max="5123" width="12.125" style="328" customWidth="1"/>
    <col min="5124" max="5124" width="17.375" style="328" customWidth="1"/>
    <col min="5125" max="5125" width="22.625" style="328" customWidth="1"/>
    <col min="5126" max="5127" width="17.125" style="328" customWidth="1"/>
    <col min="5128" max="5128" width="28.125" style="328" customWidth="1"/>
    <col min="5129" max="5129" width="12.625" style="328" customWidth="1"/>
    <col min="5130" max="5133" width="11.625" style="328" customWidth="1"/>
    <col min="5134" max="5134" width="9.625" style="328" customWidth="1"/>
    <col min="5135" max="5135" width="11.625" style="328" customWidth="1"/>
    <col min="5136" max="5376" width="9" style="328"/>
    <col min="5377" max="5377" width="4.625" style="328" customWidth="1"/>
    <col min="5378" max="5378" width="9.125" style="328" customWidth="1"/>
    <col min="5379" max="5379" width="12.125" style="328" customWidth="1"/>
    <col min="5380" max="5380" width="17.375" style="328" customWidth="1"/>
    <col min="5381" max="5381" width="22.625" style="328" customWidth="1"/>
    <col min="5382" max="5383" width="17.125" style="328" customWidth="1"/>
    <col min="5384" max="5384" width="28.125" style="328" customWidth="1"/>
    <col min="5385" max="5385" width="12.625" style="328" customWidth="1"/>
    <col min="5386" max="5389" width="11.625" style="328" customWidth="1"/>
    <col min="5390" max="5390" width="9.625" style="328" customWidth="1"/>
    <col min="5391" max="5391" width="11.625" style="328" customWidth="1"/>
    <col min="5392" max="5632" width="9" style="328"/>
    <col min="5633" max="5633" width="4.625" style="328" customWidth="1"/>
    <col min="5634" max="5634" width="9.125" style="328" customWidth="1"/>
    <col min="5635" max="5635" width="12.125" style="328" customWidth="1"/>
    <col min="5636" max="5636" width="17.375" style="328" customWidth="1"/>
    <col min="5637" max="5637" width="22.625" style="328" customWidth="1"/>
    <col min="5638" max="5639" width="17.125" style="328" customWidth="1"/>
    <col min="5640" max="5640" width="28.125" style="328" customWidth="1"/>
    <col min="5641" max="5641" width="12.625" style="328" customWidth="1"/>
    <col min="5642" max="5645" width="11.625" style="328" customWidth="1"/>
    <col min="5646" max="5646" width="9.625" style="328" customWidth="1"/>
    <col min="5647" max="5647" width="11.625" style="328" customWidth="1"/>
    <col min="5648" max="5888" width="9" style="328"/>
    <col min="5889" max="5889" width="4.625" style="328" customWidth="1"/>
    <col min="5890" max="5890" width="9.125" style="328" customWidth="1"/>
    <col min="5891" max="5891" width="12.125" style="328" customWidth="1"/>
    <col min="5892" max="5892" width="17.375" style="328" customWidth="1"/>
    <col min="5893" max="5893" width="22.625" style="328" customWidth="1"/>
    <col min="5894" max="5895" width="17.125" style="328" customWidth="1"/>
    <col min="5896" max="5896" width="28.125" style="328" customWidth="1"/>
    <col min="5897" max="5897" width="12.625" style="328" customWidth="1"/>
    <col min="5898" max="5901" width="11.625" style="328" customWidth="1"/>
    <col min="5902" max="5902" width="9.625" style="328" customWidth="1"/>
    <col min="5903" max="5903" width="11.625" style="328" customWidth="1"/>
    <col min="5904" max="6144" width="9" style="328"/>
    <col min="6145" max="6145" width="4.625" style="328" customWidth="1"/>
    <col min="6146" max="6146" width="9.125" style="328" customWidth="1"/>
    <col min="6147" max="6147" width="12.125" style="328" customWidth="1"/>
    <col min="6148" max="6148" width="17.375" style="328" customWidth="1"/>
    <col min="6149" max="6149" width="22.625" style="328" customWidth="1"/>
    <col min="6150" max="6151" width="17.125" style="328" customWidth="1"/>
    <col min="6152" max="6152" width="28.125" style="328" customWidth="1"/>
    <col min="6153" max="6153" width="12.625" style="328" customWidth="1"/>
    <col min="6154" max="6157" width="11.625" style="328" customWidth="1"/>
    <col min="6158" max="6158" width="9.625" style="328" customWidth="1"/>
    <col min="6159" max="6159" width="11.625" style="328" customWidth="1"/>
    <col min="6160" max="6400" width="9" style="328"/>
    <col min="6401" max="6401" width="4.625" style="328" customWidth="1"/>
    <col min="6402" max="6402" width="9.125" style="328" customWidth="1"/>
    <col min="6403" max="6403" width="12.125" style="328" customWidth="1"/>
    <col min="6404" max="6404" width="17.375" style="328" customWidth="1"/>
    <col min="6405" max="6405" width="22.625" style="328" customWidth="1"/>
    <col min="6406" max="6407" width="17.125" style="328" customWidth="1"/>
    <col min="6408" max="6408" width="28.125" style="328" customWidth="1"/>
    <col min="6409" max="6409" width="12.625" style="328" customWidth="1"/>
    <col min="6410" max="6413" width="11.625" style="328" customWidth="1"/>
    <col min="6414" max="6414" width="9.625" style="328" customWidth="1"/>
    <col min="6415" max="6415" width="11.625" style="328" customWidth="1"/>
    <col min="6416" max="6656" width="9" style="328"/>
    <col min="6657" max="6657" width="4.625" style="328" customWidth="1"/>
    <col min="6658" max="6658" width="9.125" style="328" customWidth="1"/>
    <col min="6659" max="6659" width="12.125" style="328" customWidth="1"/>
    <col min="6660" max="6660" width="17.375" style="328" customWidth="1"/>
    <col min="6661" max="6661" width="22.625" style="328" customWidth="1"/>
    <col min="6662" max="6663" width="17.125" style="328" customWidth="1"/>
    <col min="6664" max="6664" width="28.125" style="328" customWidth="1"/>
    <col min="6665" max="6665" width="12.625" style="328" customWidth="1"/>
    <col min="6666" max="6669" width="11.625" style="328" customWidth="1"/>
    <col min="6670" max="6670" width="9.625" style="328" customWidth="1"/>
    <col min="6671" max="6671" width="11.625" style="328" customWidth="1"/>
    <col min="6672" max="6912" width="9" style="328"/>
    <col min="6913" max="6913" width="4.625" style="328" customWidth="1"/>
    <col min="6914" max="6914" width="9.125" style="328" customWidth="1"/>
    <col min="6915" max="6915" width="12.125" style="328" customWidth="1"/>
    <col min="6916" max="6916" width="17.375" style="328" customWidth="1"/>
    <col min="6917" max="6917" width="22.625" style="328" customWidth="1"/>
    <col min="6918" max="6919" width="17.125" style="328" customWidth="1"/>
    <col min="6920" max="6920" width="28.125" style="328" customWidth="1"/>
    <col min="6921" max="6921" width="12.625" style="328" customWidth="1"/>
    <col min="6922" max="6925" width="11.625" style="328" customWidth="1"/>
    <col min="6926" max="6926" width="9.625" style="328" customWidth="1"/>
    <col min="6927" max="6927" width="11.625" style="328" customWidth="1"/>
    <col min="6928" max="7168" width="9" style="328"/>
    <col min="7169" max="7169" width="4.625" style="328" customWidth="1"/>
    <col min="7170" max="7170" width="9.125" style="328" customWidth="1"/>
    <col min="7171" max="7171" width="12.125" style="328" customWidth="1"/>
    <col min="7172" max="7172" width="17.375" style="328" customWidth="1"/>
    <col min="7173" max="7173" width="22.625" style="328" customWidth="1"/>
    <col min="7174" max="7175" width="17.125" style="328" customWidth="1"/>
    <col min="7176" max="7176" width="28.125" style="328" customWidth="1"/>
    <col min="7177" max="7177" width="12.625" style="328" customWidth="1"/>
    <col min="7178" max="7181" width="11.625" style="328" customWidth="1"/>
    <col min="7182" max="7182" width="9.625" style="328" customWidth="1"/>
    <col min="7183" max="7183" width="11.625" style="328" customWidth="1"/>
    <col min="7184" max="7424" width="9" style="328"/>
    <col min="7425" max="7425" width="4.625" style="328" customWidth="1"/>
    <col min="7426" max="7426" width="9.125" style="328" customWidth="1"/>
    <col min="7427" max="7427" width="12.125" style="328" customWidth="1"/>
    <col min="7428" max="7428" width="17.375" style="328" customWidth="1"/>
    <col min="7429" max="7429" width="22.625" style="328" customWidth="1"/>
    <col min="7430" max="7431" width="17.125" style="328" customWidth="1"/>
    <col min="7432" max="7432" width="28.125" style="328" customWidth="1"/>
    <col min="7433" max="7433" width="12.625" style="328" customWidth="1"/>
    <col min="7434" max="7437" width="11.625" style="328" customWidth="1"/>
    <col min="7438" max="7438" width="9.625" style="328" customWidth="1"/>
    <col min="7439" max="7439" width="11.625" style="328" customWidth="1"/>
    <col min="7440" max="7680" width="9" style="328"/>
    <col min="7681" max="7681" width="4.625" style="328" customWidth="1"/>
    <col min="7682" max="7682" width="9.125" style="328" customWidth="1"/>
    <col min="7683" max="7683" width="12.125" style="328" customWidth="1"/>
    <col min="7684" max="7684" width="17.375" style="328" customWidth="1"/>
    <col min="7685" max="7685" width="22.625" style="328" customWidth="1"/>
    <col min="7686" max="7687" width="17.125" style="328" customWidth="1"/>
    <col min="7688" max="7688" width="28.125" style="328" customWidth="1"/>
    <col min="7689" max="7689" width="12.625" style="328" customWidth="1"/>
    <col min="7690" max="7693" width="11.625" style="328" customWidth="1"/>
    <col min="7694" max="7694" width="9.625" style="328" customWidth="1"/>
    <col min="7695" max="7695" width="11.625" style="328" customWidth="1"/>
    <col min="7696" max="7936" width="9" style="328"/>
    <col min="7937" max="7937" width="4.625" style="328" customWidth="1"/>
    <col min="7938" max="7938" width="9.125" style="328" customWidth="1"/>
    <col min="7939" max="7939" width="12.125" style="328" customWidth="1"/>
    <col min="7940" max="7940" width="17.375" style="328" customWidth="1"/>
    <col min="7941" max="7941" width="22.625" style="328" customWidth="1"/>
    <col min="7942" max="7943" width="17.125" style="328" customWidth="1"/>
    <col min="7944" max="7944" width="28.125" style="328" customWidth="1"/>
    <col min="7945" max="7945" width="12.625" style="328" customWidth="1"/>
    <col min="7946" max="7949" width="11.625" style="328" customWidth="1"/>
    <col min="7950" max="7950" width="9.625" style="328" customWidth="1"/>
    <col min="7951" max="7951" width="11.625" style="328" customWidth="1"/>
    <col min="7952" max="8192" width="9" style="328"/>
    <col min="8193" max="8193" width="4.625" style="328" customWidth="1"/>
    <col min="8194" max="8194" width="9.125" style="328" customWidth="1"/>
    <col min="8195" max="8195" width="12.125" style="328" customWidth="1"/>
    <col min="8196" max="8196" width="17.375" style="328" customWidth="1"/>
    <col min="8197" max="8197" width="22.625" style="328" customWidth="1"/>
    <col min="8198" max="8199" width="17.125" style="328" customWidth="1"/>
    <col min="8200" max="8200" width="28.125" style="328" customWidth="1"/>
    <col min="8201" max="8201" width="12.625" style="328" customWidth="1"/>
    <col min="8202" max="8205" width="11.625" style="328" customWidth="1"/>
    <col min="8206" max="8206" width="9.625" style="328" customWidth="1"/>
    <col min="8207" max="8207" width="11.625" style="328" customWidth="1"/>
    <col min="8208" max="8448" width="9" style="328"/>
    <col min="8449" max="8449" width="4.625" style="328" customWidth="1"/>
    <col min="8450" max="8450" width="9.125" style="328" customWidth="1"/>
    <col min="8451" max="8451" width="12.125" style="328" customWidth="1"/>
    <col min="8452" max="8452" width="17.375" style="328" customWidth="1"/>
    <col min="8453" max="8453" width="22.625" style="328" customWidth="1"/>
    <col min="8454" max="8455" width="17.125" style="328" customWidth="1"/>
    <col min="8456" max="8456" width="28.125" style="328" customWidth="1"/>
    <col min="8457" max="8457" width="12.625" style="328" customWidth="1"/>
    <col min="8458" max="8461" width="11.625" style="328" customWidth="1"/>
    <col min="8462" max="8462" width="9.625" style="328" customWidth="1"/>
    <col min="8463" max="8463" width="11.625" style="328" customWidth="1"/>
    <col min="8464" max="8704" width="9" style="328"/>
    <col min="8705" max="8705" width="4.625" style="328" customWidth="1"/>
    <col min="8706" max="8706" width="9.125" style="328" customWidth="1"/>
    <col min="8707" max="8707" width="12.125" style="328" customWidth="1"/>
    <col min="8708" max="8708" width="17.375" style="328" customWidth="1"/>
    <col min="8709" max="8709" width="22.625" style="328" customWidth="1"/>
    <col min="8710" max="8711" width="17.125" style="328" customWidth="1"/>
    <col min="8712" max="8712" width="28.125" style="328" customWidth="1"/>
    <col min="8713" max="8713" width="12.625" style="328" customWidth="1"/>
    <col min="8714" max="8717" width="11.625" style="328" customWidth="1"/>
    <col min="8718" max="8718" width="9.625" style="328" customWidth="1"/>
    <col min="8719" max="8719" width="11.625" style="328" customWidth="1"/>
    <col min="8720" max="8960" width="9" style="328"/>
    <col min="8961" max="8961" width="4.625" style="328" customWidth="1"/>
    <col min="8962" max="8962" width="9.125" style="328" customWidth="1"/>
    <col min="8963" max="8963" width="12.125" style="328" customWidth="1"/>
    <col min="8964" max="8964" width="17.375" style="328" customWidth="1"/>
    <col min="8965" max="8965" width="22.625" style="328" customWidth="1"/>
    <col min="8966" max="8967" width="17.125" style="328" customWidth="1"/>
    <col min="8968" max="8968" width="28.125" style="328" customWidth="1"/>
    <col min="8969" max="8969" width="12.625" style="328" customWidth="1"/>
    <col min="8970" max="8973" width="11.625" style="328" customWidth="1"/>
    <col min="8974" max="8974" width="9.625" style="328" customWidth="1"/>
    <col min="8975" max="8975" width="11.625" style="328" customWidth="1"/>
    <col min="8976" max="9216" width="9" style="328"/>
    <col min="9217" max="9217" width="4.625" style="328" customWidth="1"/>
    <col min="9218" max="9218" width="9.125" style="328" customWidth="1"/>
    <col min="9219" max="9219" width="12.125" style="328" customWidth="1"/>
    <col min="9220" max="9220" width="17.375" style="328" customWidth="1"/>
    <col min="9221" max="9221" width="22.625" style="328" customWidth="1"/>
    <col min="9222" max="9223" width="17.125" style="328" customWidth="1"/>
    <col min="9224" max="9224" width="28.125" style="328" customWidth="1"/>
    <col min="9225" max="9225" width="12.625" style="328" customWidth="1"/>
    <col min="9226" max="9229" width="11.625" style="328" customWidth="1"/>
    <col min="9230" max="9230" width="9.625" style="328" customWidth="1"/>
    <col min="9231" max="9231" width="11.625" style="328" customWidth="1"/>
    <col min="9232" max="9472" width="9" style="328"/>
    <col min="9473" max="9473" width="4.625" style="328" customWidth="1"/>
    <col min="9474" max="9474" width="9.125" style="328" customWidth="1"/>
    <col min="9475" max="9475" width="12.125" style="328" customWidth="1"/>
    <col min="9476" max="9476" width="17.375" style="328" customWidth="1"/>
    <col min="9477" max="9477" width="22.625" style="328" customWidth="1"/>
    <col min="9478" max="9479" width="17.125" style="328" customWidth="1"/>
    <col min="9480" max="9480" width="28.125" style="328" customWidth="1"/>
    <col min="9481" max="9481" width="12.625" style="328" customWidth="1"/>
    <col min="9482" max="9485" width="11.625" style="328" customWidth="1"/>
    <col min="9486" max="9486" width="9.625" style="328" customWidth="1"/>
    <col min="9487" max="9487" width="11.625" style="328" customWidth="1"/>
    <col min="9488" max="9728" width="9" style="328"/>
    <col min="9729" max="9729" width="4.625" style="328" customWidth="1"/>
    <col min="9730" max="9730" width="9.125" style="328" customWidth="1"/>
    <col min="9731" max="9731" width="12.125" style="328" customWidth="1"/>
    <col min="9732" max="9732" width="17.375" style="328" customWidth="1"/>
    <col min="9733" max="9733" width="22.625" style="328" customWidth="1"/>
    <col min="9734" max="9735" width="17.125" style="328" customWidth="1"/>
    <col min="9736" max="9736" width="28.125" style="328" customWidth="1"/>
    <col min="9737" max="9737" width="12.625" style="328" customWidth="1"/>
    <col min="9738" max="9741" width="11.625" style="328" customWidth="1"/>
    <col min="9742" max="9742" width="9.625" style="328" customWidth="1"/>
    <col min="9743" max="9743" width="11.625" style="328" customWidth="1"/>
    <col min="9744" max="9984" width="9" style="328"/>
    <col min="9985" max="9985" width="4.625" style="328" customWidth="1"/>
    <col min="9986" max="9986" width="9.125" style="328" customWidth="1"/>
    <col min="9987" max="9987" width="12.125" style="328" customWidth="1"/>
    <col min="9988" max="9988" width="17.375" style="328" customWidth="1"/>
    <col min="9989" max="9989" width="22.625" style="328" customWidth="1"/>
    <col min="9990" max="9991" width="17.125" style="328" customWidth="1"/>
    <col min="9992" max="9992" width="28.125" style="328" customWidth="1"/>
    <col min="9993" max="9993" width="12.625" style="328" customWidth="1"/>
    <col min="9994" max="9997" width="11.625" style="328" customWidth="1"/>
    <col min="9998" max="9998" width="9.625" style="328" customWidth="1"/>
    <col min="9999" max="9999" width="11.625" style="328" customWidth="1"/>
    <col min="10000" max="10240" width="9" style="328"/>
    <col min="10241" max="10241" width="4.625" style="328" customWidth="1"/>
    <col min="10242" max="10242" width="9.125" style="328" customWidth="1"/>
    <col min="10243" max="10243" width="12.125" style="328" customWidth="1"/>
    <col min="10244" max="10244" width="17.375" style="328" customWidth="1"/>
    <col min="10245" max="10245" width="22.625" style="328" customWidth="1"/>
    <col min="10246" max="10247" width="17.125" style="328" customWidth="1"/>
    <col min="10248" max="10248" width="28.125" style="328" customWidth="1"/>
    <col min="10249" max="10249" width="12.625" style="328" customWidth="1"/>
    <col min="10250" max="10253" width="11.625" style="328" customWidth="1"/>
    <col min="10254" max="10254" width="9.625" style="328" customWidth="1"/>
    <col min="10255" max="10255" width="11.625" style="328" customWidth="1"/>
    <col min="10256" max="10496" width="9" style="328"/>
    <col min="10497" max="10497" width="4.625" style="328" customWidth="1"/>
    <col min="10498" max="10498" width="9.125" style="328" customWidth="1"/>
    <col min="10499" max="10499" width="12.125" style="328" customWidth="1"/>
    <col min="10500" max="10500" width="17.375" style="328" customWidth="1"/>
    <col min="10501" max="10501" width="22.625" style="328" customWidth="1"/>
    <col min="10502" max="10503" width="17.125" style="328" customWidth="1"/>
    <col min="10504" max="10504" width="28.125" style="328" customWidth="1"/>
    <col min="10505" max="10505" width="12.625" style="328" customWidth="1"/>
    <col min="10506" max="10509" width="11.625" style="328" customWidth="1"/>
    <col min="10510" max="10510" width="9.625" style="328" customWidth="1"/>
    <col min="10511" max="10511" width="11.625" style="328" customWidth="1"/>
    <col min="10512" max="10752" width="9" style="328"/>
    <col min="10753" max="10753" width="4.625" style="328" customWidth="1"/>
    <col min="10754" max="10754" width="9.125" style="328" customWidth="1"/>
    <col min="10755" max="10755" width="12.125" style="328" customWidth="1"/>
    <col min="10756" max="10756" width="17.375" style="328" customWidth="1"/>
    <col min="10757" max="10757" width="22.625" style="328" customWidth="1"/>
    <col min="10758" max="10759" width="17.125" style="328" customWidth="1"/>
    <col min="10760" max="10760" width="28.125" style="328" customWidth="1"/>
    <col min="10761" max="10761" width="12.625" style="328" customWidth="1"/>
    <col min="10762" max="10765" width="11.625" style="328" customWidth="1"/>
    <col min="10766" max="10766" width="9.625" style="328" customWidth="1"/>
    <col min="10767" max="10767" width="11.625" style="328" customWidth="1"/>
    <col min="10768" max="11008" width="9" style="328"/>
    <col min="11009" max="11009" width="4.625" style="328" customWidth="1"/>
    <col min="11010" max="11010" width="9.125" style="328" customWidth="1"/>
    <col min="11011" max="11011" width="12.125" style="328" customWidth="1"/>
    <col min="11012" max="11012" width="17.375" style="328" customWidth="1"/>
    <col min="11013" max="11013" width="22.625" style="328" customWidth="1"/>
    <col min="11014" max="11015" width="17.125" style="328" customWidth="1"/>
    <col min="11016" max="11016" width="28.125" style="328" customWidth="1"/>
    <col min="11017" max="11017" width="12.625" style="328" customWidth="1"/>
    <col min="11018" max="11021" width="11.625" style="328" customWidth="1"/>
    <col min="11022" max="11022" width="9.625" style="328" customWidth="1"/>
    <col min="11023" max="11023" width="11.625" style="328" customWidth="1"/>
    <col min="11024" max="11264" width="9" style="328"/>
    <col min="11265" max="11265" width="4.625" style="328" customWidth="1"/>
    <col min="11266" max="11266" width="9.125" style="328" customWidth="1"/>
    <col min="11267" max="11267" width="12.125" style="328" customWidth="1"/>
    <col min="11268" max="11268" width="17.375" style="328" customWidth="1"/>
    <col min="11269" max="11269" width="22.625" style="328" customWidth="1"/>
    <col min="11270" max="11271" width="17.125" style="328" customWidth="1"/>
    <col min="11272" max="11272" width="28.125" style="328" customWidth="1"/>
    <col min="11273" max="11273" width="12.625" style="328" customWidth="1"/>
    <col min="11274" max="11277" width="11.625" style="328" customWidth="1"/>
    <col min="11278" max="11278" width="9.625" style="328" customWidth="1"/>
    <col min="11279" max="11279" width="11.625" style="328" customWidth="1"/>
    <col min="11280" max="11520" width="9" style="328"/>
    <col min="11521" max="11521" width="4.625" style="328" customWidth="1"/>
    <col min="11522" max="11522" width="9.125" style="328" customWidth="1"/>
    <col min="11523" max="11523" width="12.125" style="328" customWidth="1"/>
    <col min="11524" max="11524" width="17.375" style="328" customWidth="1"/>
    <col min="11525" max="11525" width="22.625" style="328" customWidth="1"/>
    <col min="11526" max="11527" width="17.125" style="328" customWidth="1"/>
    <col min="11528" max="11528" width="28.125" style="328" customWidth="1"/>
    <col min="11529" max="11529" width="12.625" style="328" customWidth="1"/>
    <col min="11530" max="11533" width="11.625" style="328" customWidth="1"/>
    <col min="11534" max="11534" width="9.625" style="328" customWidth="1"/>
    <col min="11535" max="11535" width="11.625" style="328" customWidth="1"/>
    <col min="11536" max="11776" width="9" style="328"/>
    <col min="11777" max="11777" width="4.625" style="328" customWidth="1"/>
    <col min="11778" max="11778" width="9.125" style="328" customWidth="1"/>
    <col min="11779" max="11779" width="12.125" style="328" customWidth="1"/>
    <col min="11780" max="11780" width="17.375" style="328" customWidth="1"/>
    <col min="11781" max="11781" width="22.625" style="328" customWidth="1"/>
    <col min="11782" max="11783" width="17.125" style="328" customWidth="1"/>
    <col min="11784" max="11784" width="28.125" style="328" customWidth="1"/>
    <col min="11785" max="11785" width="12.625" style="328" customWidth="1"/>
    <col min="11786" max="11789" width="11.625" style="328" customWidth="1"/>
    <col min="11790" max="11790" width="9.625" style="328" customWidth="1"/>
    <col min="11791" max="11791" width="11.625" style="328" customWidth="1"/>
    <col min="11792" max="12032" width="9" style="328"/>
    <col min="12033" max="12033" width="4.625" style="328" customWidth="1"/>
    <col min="12034" max="12034" width="9.125" style="328" customWidth="1"/>
    <col min="12035" max="12035" width="12.125" style="328" customWidth="1"/>
    <col min="12036" max="12036" width="17.375" style="328" customWidth="1"/>
    <col min="12037" max="12037" width="22.625" style="328" customWidth="1"/>
    <col min="12038" max="12039" width="17.125" style="328" customWidth="1"/>
    <col min="12040" max="12040" width="28.125" style="328" customWidth="1"/>
    <col min="12041" max="12041" width="12.625" style="328" customWidth="1"/>
    <col min="12042" max="12045" width="11.625" style="328" customWidth="1"/>
    <col min="12046" max="12046" width="9.625" style="328" customWidth="1"/>
    <col min="12047" max="12047" width="11.625" style="328" customWidth="1"/>
    <col min="12048" max="12288" width="9" style="328"/>
    <col min="12289" max="12289" width="4.625" style="328" customWidth="1"/>
    <col min="12290" max="12290" width="9.125" style="328" customWidth="1"/>
    <col min="12291" max="12291" width="12.125" style="328" customWidth="1"/>
    <col min="12292" max="12292" width="17.375" style="328" customWidth="1"/>
    <col min="12293" max="12293" width="22.625" style="328" customWidth="1"/>
    <col min="12294" max="12295" width="17.125" style="328" customWidth="1"/>
    <col min="12296" max="12296" width="28.125" style="328" customWidth="1"/>
    <col min="12297" max="12297" width="12.625" style="328" customWidth="1"/>
    <col min="12298" max="12301" width="11.625" style="328" customWidth="1"/>
    <col min="12302" max="12302" width="9.625" style="328" customWidth="1"/>
    <col min="12303" max="12303" width="11.625" style="328" customWidth="1"/>
    <col min="12304" max="12544" width="9" style="328"/>
    <col min="12545" max="12545" width="4.625" style="328" customWidth="1"/>
    <col min="12546" max="12546" width="9.125" style="328" customWidth="1"/>
    <col min="12547" max="12547" width="12.125" style="328" customWidth="1"/>
    <col min="12548" max="12548" width="17.375" style="328" customWidth="1"/>
    <col min="12549" max="12549" width="22.625" style="328" customWidth="1"/>
    <col min="12550" max="12551" width="17.125" style="328" customWidth="1"/>
    <col min="12552" max="12552" width="28.125" style="328" customWidth="1"/>
    <col min="12553" max="12553" width="12.625" style="328" customWidth="1"/>
    <col min="12554" max="12557" width="11.625" style="328" customWidth="1"/>
    <col min="12558" max="12558" width="9.625" style="328" customWidth="1"/>
    <col min="12559" max="12559" width="11.625" style="328" customWidth="1"/>
    <col min="12560" max="12800" width="9" style="328"/>
    <col min="12801" max="12801" width="4.625" style="328" customWidth="1"/>
    <col min="12802" max="12802" width="9.125" style="328" customWidth="1"/>
    <col min="12803" max="12803" width="12.125" style="328" customWidth="1"/>
    <col min="12804" max="12804" width="17.375" style="328" customWidth="1"/>
    <col min="12805" max="12805" width="22.625" style="328" customWidth="1"/>
    <col min="12806" max="12807" width="17.125" style="328" customWidth="1"/>
    <col min="12808" max="12808" width="28.125" style="328" customWidth="1"/>
    <col min="12809" max="12809" width="12.625" style="328" customWidth="1"/>
    <col min="12810" max="12813" width="11.625" style="328" customWidth="1"/>
    <col min="12814" max="12814" width="9.625" style="328" customWidth="1"/>
    <col min="12815" max="12815" width="11.625" style="328" customWidth="1"/>
    <col min="12816" max="13056" width="9" style="328"/>
    <col min="13057" max="13057" width="4.625" style="328" customWidth="1"/>
    <col min="13058" max="13058" width="9.125" style="328" customWidth="1"/>
    <col min="13059" max="13059" width="12.125" style="328" customWidth="1"/>
    <col min="13060" max="13060" width="17.375" style="328" customWidth="1"/>
    <col min="13061" max="13061" width="22.625" style="328" customWidth="1"/>
    <col min="13062" max="13063" width="17.125" style="328" customWidth="1"/>
    <col min="13064" max="13064" width="28.125" style="328" customWidth="1"/>
    <col min="13065" max="13065" width="12.625" style="328" customWidth="1"/>
    <col min="13066" max="13069" width="11.625" style="328" customWidth="1"/>
    <col min="13070" max="13070" width="9.625" style="328" customWidth="1"/>
    <col min="13071" max="13071" width="11.625" style="328" customWidth="1"/>
    <col min="13072" max="13312" width="9" style="328"/>
    <col min="13313" max="13313" width="4.625" style="328" customWidth="1"/>
    <col min="13314" max="13314" width="9.125" style="328" customWidth="1"/>
    <col min="13315" max="13315" width="12.125" style="328" customWidth="1"/>
    <col min="13316" max="13316" width="17.375" style="328" customWidth="1"/>
    <col min="13317" max="13317" width="22.625" style="328" customWidth="1"/>
    <col min="13318" max="13319" width="17.125" style="328" customWidth="1"/>
    <col min="13320" max="13320" width="28.125" style="328" customWidth="1"/>
    <col min="13321" max="13321" width="12.625" style="328" customWidth="1"/>
    <col min="13322" max="13325" width="11.625" style="328" customWidth="1"/>
    <col min="13326" max="13326" width="9.625" style="328" customWidth="1"/>
    <col min="13327" max="13327" width="11.625" style="328" customWidth="1"/>
    <col min="13328" max="13568" width="9" style="328"/>
    <col min="13569" max="13569" width="4.625" style="328" customWidth="1"/>
    <col min="13570" max="13570" width="9.125" style="328" customWidth="1"/>
    <col min="13571" max="13571" width="12.125" style="328" customWidth="1"/>
    <col min="13572" max="13572" width="17.375" style="328" customWidth="1"/>
    <col min="13573" max="13573" width="22.625" style="328" customWidth="1"/>
    <col min="13574" max="13575" width="17.125" style="328" customWidth="1"/>
    <col min="13576" max="13576" width="28.125" style="328" customWidth="1"/>
    <col min="13577" max="13577" width="12.625" style="328" customWidth="1"/>
    <col min="13578" max="13581" width="11.625" style="328" customWidth="1"/>
    <col min="13582" max="13582" width="9.625" style="328" customWidth="1"/>
    <col min="13583" max="13583" width="11.625" style="328" customWidth="1"/>
    <col min="13584" max="13824" width="9" style="328"/>
    <col min="13825" max="13825" width="4.625" style="328" customWidth="1"/>
    <col min="13826" max="13826" width="9.125" style="328" customWidth="1"/>
    <col min="13827" max="13827" width="12.125" style="328" customWidth="1"/>
    <col min="13828" max="13828" width="17.375" style="328" customWidth="1"/>
    <col min="13829" max="13829" width="22.625" style="328" customWidth="1"/>
    <col min="13830" max="13831" width="17.125" style="328" customWidth="1"/>
    <col min="13832" max="13832" width="28.125" style="328" customWidth="1"/>
    <col min="13833" max="13833" width="12.625" style="328" customWidth="1"/>
    <col min="13834" max="13837" width="11.625" style="328" customWidth="1"/>
    <col min="13838" max="13838" width="9.625" style="328" customWidth="1"/>
    <col min="13839" max="13839" width="11.625" style="328" customWidth="1"/>
    <col min="13840" max="14080" width="9" style="328"/>
    <col min="14081" max="14081" width="4.625" style="328" customWidth="1"/>
    <col min="14082" max="14082" width="9.125" style="328" customWidth="1"/>
    <col min="14083" max="14083" width="12.125" style="328" customWidth="1"/>
    <col min="14084" max="14084" width="17.375" style="328" customWidth="1"/>
    <col min="14085" max="14085" width="22.625" style="328" customWidth="1"/>
    <col min="14086" max="14087" width="17.125" style="328" customWidth="1"/>
    <col min="14088" max="14088" width="28.125" style="328" customWidth="1"/>
    <col min="14089" max="14089" width="12.625" style="328" customWidth="1"/>
    <col min="14090" max="14093" width="11.625" style="328" customWidth="1"/>
    <col min="14094" max="14094" width="9.625" style="328" customWidth="1"/>
    <col min="14095" max="14095" width="11.625" style="328" customWidth="1"/>
    <col min="14096" max="14336" width="9" style="328"/>
    <col min="14337" max="14337" width="4.625" style="328" customWidth="1"/>
    <col min="14338" max="14338" width="9.125" style="328" customWidth="1"/>
    <col min="14339" max="14339" width="12.125" style="328" customWidth="1"/>
    <col min="14340" max="14340" width="17.375" style="328" customWidth="1"/>
    <col min="14341" max="14341" width="22.625" style="328" customWidth="1"/>
    <col min="14342" max="14343" width="17.125" style="328" customWidth="1"/>
    <col min="14344" max="14344" width="28.125" style="328" customWidth="1"/>
    <col min="14345" max="14345" width="12.625" style="328" customWidth="1"/>
    <col min="14346" max="14349" width="11.625" style="328" customWidth="1"/>
    <col min="14350" max="14350" width="9.625" style="328" customWidth="1"/>
    <col min="14351" max="14351" width="11.625" style="328" customWidth="1"/>
    <col min="14352" max="14592" width="9" style="328"/>
    <col min="14593" max="14593" width="4.625" style="328" customWidth="1"/>
    <col min="14594" max="14594" width="9.125" style="328" customWidth="1"/>
    <col min="14595" max="14595" width="12.125" style="328" customWidth="1"/>
    <col min="14596" max="14596" width="17.375" style="328" customWidth="1"/>
    <col min="14597" max="14597" width="22.625" style="328" customWidth="1"/>
    <col min="14598" max="14599" width="17.125" style="328" customWidth="1"/>
    <col min="14600" max="14600" width="28.125" style="328" customWidth="1"/>
    <col min="14601" max="14601" width="12.625" style="328" customWidth="1"/>
    <col min="14602" max="14605" width="11.625" style="328" customWidth="1"/>
    <col min="14606" max="14606" width="9.625" style="328" customWidth="1"/>
    <col min="14607" max="14607" width="11.625" style="328" customWidth="1"/>
    <col min="14608" max="14848" width="9" style="328"/>
    <col min="14849" max="14849" width="4.625" style="328" customWidth="1"/>
    <col min="14850" max="14850" width="9.125" style="328" customWidth="1"/>
    <col min="14851" max="14851" width="12.125" style="328" customWidth="1"/>
    <col min="14852" max="14852" width="17.375" style="328" customWidth="1"/>
    <col min="14853" max="14853" width="22.625" style="328" customWidth="1"/>
    <col min="14854" max="14855" width="17.125" style="328" customWidth="1"/>
    <col min="14856" max="14856" width="28.125" style="328" customWidth="1"/>
    <col min="14857" max="14857" width="12.625" style="328" customWidth="1"/>
    <col min="14858" max="14861" width="11.625" style="328" customWidth="1"/>
    <col min="14862" max="14862" width="9.625" style="328" customWidth="1"/>
    <col min="14863" max="14863" width="11.625" style="328" customWidth="1"/>
    <col min="14864" max="15104" width="9" style="328"/>
    <col min="15105" max="15105" width="4.625" style="328" customWidth="1"/>
    <col min="15106" max="15106" width="9.125" style="328" customWidth="1"/>
    <col min="15107" max="15107" width="12.125" style="328" customWidth="1"/>
    <col min="15108" max="15108" width="17.375" style="328" customWidth="1"/>
    <col min="15109" max="15109" width="22.625" style="328" customWidth="1"/>
    <col min="15110" max="15111" width="17.125" style="328" customWidth="1"/>
    <col min="15112" max="15112" width="28.125" style="328" customWidth="1"/>
    <col min="15113" max="15113" width="12.625" style="328" customWidth="1"/>
    <col min="15114" max="15117" width="11.625" style="328" customWidth="1"/>
    <col min="15118" max="15118" width="9.625" style="328" customWidth="1"/>
    <col min="15119" max="15119" width="11.625" style="328" customWidth="1"/>
    <col min="15120" max="15360" width="9" style="328"/>
    <col min="15361" max="15361" width="4.625" style="328" customWidth="1"/>
    <col min="15362" max="15362" width="9.125" style="328" customWidth="1"/>
    <col min="15363" max="15363" width="12.125" style="328" customWidth="1"/>
    <col min="15364" max="15364" width="17.375" style="328" customWidth="1"/>
    <col min="15365" max="15365" width="22.625" style="328" customWidth="1"/>
    <col min="15366" max="15367" width="17.125" style="328" customWidth="1"/>
    <col min="15368" max="15368" width="28.125" style="328" customWidth="1"/>
    <col min="15369" max="15369" width="12.625" style="328" customWidth="1"/>
    <col min="15370" max="15373" width="11.625" style="328" customWidth="1"/>
    <col min="15374" max="15374" width="9.625" style="328" customWidth="1"/>
    <col min="15375" max="15375" width="11.625" style="328" customWidth="1"/>
    <col min="15376" max="15616" width="9" style="328"/>
    <col min="15617" max="15617" width="4.625" style="328" customWidth="1"/>
    <col min="15618" max="15618" width="9.125" style="328" customWidth="1"/>
    <col min="15619" max="15619" width="12.125" style="328" customWidth="1"/>
    <col min="15620" max="15620" width="17.375" style="328" customWidth="1"/>
    <col min="15621" max="15621" width="22.625" style="328" customWidth="1"/>
    <col min="15622" max="15623" width="17.125" style="328" customWidth="1"/>
    <col min="15624" max="15624" width="28.125" style="328" customWidth="1"/>
    <col min="15625" max="15625" width="12.625" style="328" customWidth="1"/>
    <col min="15626" max="15629" width="11.625" style="328" customWidth="1"/>
    <col min="15630" max="15630" width="9.625" style="328" customWidth="1"/>
    <col min="15631" max="15631" width="11.625" style="328" customWidth="1"/>
    <col min="15632" max="15872" width="9" style="328"/>
    <col min="15873" max="15873" width="4.625" style="328" customWidth="1"/>
    <col min="15874" max="15874" width="9.125" style="328" customWidth="1"/>
    <col min="15875" max="15875" width="12.125" style="328" customWidth="1"/>
    <col min="15876" max="15876" width="17.375" style="328" customWidth="1"/>
    <col min="15877" max="15877" width="22.625" style="328" customWidth="1"/>
    <col min="15878" max="15879" width="17.125" style="328" customWidth="1"/>
    <col min="15880" max="15880" width="28.125" style="328" customWidth="1"/>
    <col min="15881" max="15881" width="12.625" style="328" customWidth="1"/>
    <col min="15882" max="15885" width="11.625" style="328" customWidth="1"/>
    <col min="15886" max="15886" width="9.625" style="328" customWidth="1"/>
    <col min="15887" max="15887" width="11.625" style="328" customWidth="1"/>
    <col min="15888" max="16128" width="9" style="328"/>
    <col min="16129" max="16129" width="4.625" style="328" customWidth="1"/>
    <col min="16130" max="16130" width="9.125" style="328" customWidth="1"/>
    <col min="16131" max="16131" width="12.125" style="328" customWidth="1"/>
    <col min="16132" max="16132" width="17.375" style="328" customWidth="1"/>
    <col min="16133" max="16133" width="22.625" style="328" customWidth="1"/>
    <col min="16134" max="16135" width="17.125" style="328" customWidth="1"/>
    <col min="16136" max="16136" width="28.125" style="328" customWidth="1"/>
    <col min="16137" max="16137" width="12.625" style="328" customWidth="1"/>
    <col min="16138" max="16141" width="11.625" style="328" customWidth="1"/>
    <col min="16142" max="16142" width="9.625" style="328" customWidth="1"/>
    <col min="16143" max="16143" width="11.625" style="328" customWidth="1"/>
    <col min="16144" max="16384" width="9" style="328"/>
  </cols>
  <sheetData>
    <row r="1" spans="1:16" ht="21" x14ac:dyDescent="0.45">
      <c r="A1" s="512" t="s">
        <v>1913</v>
      </c>
      <c r="B1" s="512"/>
      <c r="C1" s="512"/>
      <c r="D1" s="512"/>
      <c r="E1" s="512"/>
      <c r="F1" s="512"/>
      <c r="G1" s="512"/>
      <c r="H1" s="512"/>
      <c r="I1" s="512"/>
      <c r="J1" s="512"/>
      <c r="K1" s="512"/>
      <c r="L1" s="512"/>
      <c r="M1" s="512"/>
      <c r="N1" s="512"/>
      <c r="O1" s="512"/>
    </row>
    <row r="2" spans="1:16" ht="21" x14ac:dyDescent="0.45">
      <c r="A2" s="512" t="s">
        <v>1920</v>
      </c>
      <c r="B2" s="512"/>
      <c r="C2" s="512"/>
      <c r="D2" s="512"/>
      <c r="E2" s="512"/>
      <c r="F2" s="512"/>
      <c r="G2" s="512"/>
      <c r="H2" s="512"/>
      <c r="I2" s="512"/>
      <c r="J2" s="512"/>
      <c r="K2" s="512"/>
      <c r="L2" s="512"/>
      <c r="M2" s="512"/>
      <c r="N2" s="512"/>
      <c r="O2" s="512"/>
    </row>
    <row r="3" spans="1:16" ht="21" x14ac:dyDescent="0.45">
      <c r="A3" s="512" t="s">
        <v>2817</v>
      </c>
      <c r="B3" s="512"/>
      <c r="C3" s="512"/>
      <c r="D3" s="512"/>
      <c r="E3" s="512"/>
      <c r="F3" s="512"/>
      <c r="G3" s="512"/>
      <c r="H3" s="512"/>
      <c r="I3" s="512"/>
      <c r="J3" s="512"/>
      <c r="K3" s="512"/>
      <c r="L3" s="512"/>
      <c r="M3" s="512"/>
      <c r="N3" s="512"/>
      <c r="O3" s="512"/>
    </row>
    <row r="4" spans="1:16" s="332" customFormat="1" ht="8.1" customHeight="1" x14ac:dyDescent="0.4">
      <c r="A4" s="329"/>
      <c r="B4" s="330"/>
      <c r="C4" s="366"/>
      <c r="D4" s="366"/>
      <c r="E4" s="331"/>
      <c r="I4" s="333"/>
      <c r="N4" s="430"/>
    </row>
    <row r="5" spans="1:16" s="335" customFormat="1" ht="42" customHeight="1" x14ac:dyDescent="0.4">
      <c r="A5" s="513" t="s">
        <v>253</v>
      </c>
      <c r="B5" s="513" t="s">
        <v>254</v>
      </c>
      <c r="C5" s="513"/>
      <c r="D5" s="513"/>
      <c r="E5" s="513"/>
      <c r="F5" s="513"/>
      <c r="G5" s="513"/>
      <c r="H5" s="513"/>
      <c r="I5" s="513"/>
      <c r="J5" s="515" t="s">
        <v>2148</v>
      </c>
      <c r="K5" s="515"/>
      <c r="L5" s="515"/>
      <c r="M5" s="515"/>
      <c r="N5" s="515"/>
      <c r="O5" s="516" t="s">
        <v>256</v>
      </c>
    </row>
    <row r="6" spans="1:16" s="336" customFormat="1" ht="57.75" customHeight="1" x14ac:dyDescent="0.2">
      <c r="A6" s="513"/>
      <c r="B6" s="518" t="s">
        <v>257</v>
      </c>
      <c r="C6" s="520" t="s">
        <v>2</v>
      </c>
      <c r="D6" s="520" t="s">
        <v>258</v>
      </c>
      <c r="E6" s="513" t="s">
        <v>259</v>
      </c>
      <c r="F6" s="513" t="s">
        <v>260</v>
      </c>
      <c r="G6" s="513" t="s">
        <v>261</v>
      </c>
      <c r="H6" s="513" t="s">
        <v>262</v>
      </c>
      <c r="I6" s="508" t="s">
        <v>263</v>
      </c>
      <c r="J6" s="510" t="s">
        <v>2239</v>
      </c>
      <c r="K6" s="511"/>
      <c r="L6" s="522" t="s">
        <v>265</v>
      </c>
      <c r="M6" s="522"/>
      <c r="N6" s="522"/>
      <c r="O6" s="516"/>
    </row>
    <row r="7" spans="1:16" s="335" customFormat="1" ht="60" customHeight="1" x14ac:dyDescent="0.4">
      <c r="A7" s="514"/>
      <c r="B7" s="519"/>
      <c r="C7" s="521"/>
      <c r="D7" s="521"/>
      <c r="E7" s="514"/>
      <c r="F7" s="514"/>
      <c r="G7" s="514"/>
      <c r="H7" s="514"/>
      <c r="I7" s="509"/>
      <c r="J7" s="403" t="s">
        <v>266</v>
      </c>
      <c r="K7" s="403" t="s">
        <v>267</v>
      </c>
      <c r="L7" s="404" t="s">
        <v>266</v>
      </c>
      <c r="M7" s="404" t="s">
        <v>267</v>
      </c>
      <c r="N7" s="431" t="s">
        <v>2606</v>
      </c>
      <c r="O7" s="517"/>
    </row>
    <row r="8" spans="1:16" x14ac:dyDescent="0.4">
      <c r="A8" s="388" t="s">
        <v>739</v>
      </c>
      <c r="B8" s="389"/>
      <c r="C8" s="637"/>
      <c r="D8" s="637"/>
      <c r="E8" s="388"/>
      <c r="F8" s="388"/>
      <c r="G8" s="388"/>
      <c r="H8" s="638"/>
      <c r="I8" s="393">
        <f>SUM(I9:I15)</f>
        <v>2977530</v>
      </c>
      <c r="J8" s="393">
        <f t="shared" ref="J8:O8" si="0">SUM(J9:J15)</f>
        <v>450</v>
      </c>
      <c r="K8" s="393">
        <f t="shared" si="0"/>
        <v>450</v>
      </c>
      <c r="L8" s="393">
        <f t="shared" si="0"/>
        <v>0</v>
      </c>
      <c r="M8" s="393">
        <f t="shared" si="0"/>
        <v>85000</v>
      </c>
      <c r="N8" s="393"/>
      <c r="O8" s="393">
        <f t="shared" si="0"/>
        <v>2891630</v>
      </c>
      <c r="P8" s="441"/>
    </row>
    <row r="9" spans="1:16" ht="112.5" x14ac:dyDescent="0.4">
      <c r="A9" s="439">
        <v>1</v>
      </c>
      <c r="B9" s="438" t="s">
        <v>2435</v>
      </c>
      <c r="C9" s="440" t="s">
        <v>2436</v>
      </c>
      <c r="D9" s="639" t="s">
        <v>2437</v>
      </c>
      <c r="E9" s="640" t="s">
        <v>1173</v>
      </c>
      <c r="F9" s="435" t="s">
        <v>739</v>
      </c>
      <c r="G9" s="435" t="s">
        <v>1162</v>
      </c>
      <c r="H9" s="436" t="s">
        <v>2700</v>
      </c>
      <c r="I9" s="641">
        <v>20000</v>
      </c>
      <c r="J9" s="641">
        <v>0</v>
      </c>
      <c r="K9" s="641">
        <v>0</v>
      </c>
      <c r="L9" s="641">
        <v>0</v>
      </c>
      <c r="M9" s="641">
        <v>0</v>
      </c>
      <c r="N9" s="642" t="s">
        <v>1631</v>
      </c>
      <c r="O9" s="641">
        <f>+I9-(SUM(J9:N9))</f>
        <v>20000</v>
      </c>
      <c r="P9" s="441"/>
    </row>
    <row r="10" spans="1:16" s="441" customFormat="1" ht="131.25" x14ac:dyDescent="0.2">
      <c r="A10" s="439">
        <v>2</v>
      </c>
      <c r="B10" s="438" t="s">
        <v>2528</v>
      </c>
      <c r="C10" s="440" t="s">
        <v>2529</v>
      </c>
      <c r="D10" s="639" t="s">
        <v>2530</v>
      </c>
      <c r="E10" s="640" t="s">
        <v>1185</v>
      </c>
      <c r="F10" s="435" t="s">
        <v>739</v>
      </c>
      <c r="G10" s="435" t="s">
        <v>2154</v>
      </c>
      <c r="H10" s="436" t="s">
        <v>2701</v>
      </c>
      <c r="I10" s="641">
        <v>785900</v>
      </c>
      <c r="J10" s="641">
        <v>0</v>
      </c>
      <c r="K10" s="641">
        <v>0</v>
      </c>
      <c r="L10" s="641">
        <v>0</v>
      </c>
      <c r="M10" s="641">
        <v>0</v>
      </c>
      <c r="N10" s="642" t="s">
        <v>2325</v>
      </c>
      <c r="O10" s="641">
        <f>+I10-(SUM(J10:N10))</f>
        <v>785900</v>
      </c>
    </row>
    <row r="11" spans="1:16" s="643" customFormat="1" ht="131.25" x14ac:dyDescent="0.2">
      <c r="A11" s="439">
        <v>3</v>
      </c>
      <c r="B11" s="438" t="s">
        <v>2528</v>
      </c>
      <c r="C11" s="440" t="s">
        <v>2529</v>
      </c>
      <c r="D11" s="639" t="s">
        <v>2530</v>
      </c>
      <c r="E11" s="640" t="s">
        <v>2155</v>
      </c>
      <c r="F11" s="435" t="s">
        <v>739</v>
      </c>
      <c r="G11" s="435" t="s">
        <v>2154</v>
      </c>
      <c r="H11" s="436" t="s">
        <v>2702</v>
      </c>
      <c r="I11" s="641">
        <v>312980</v>
      </c>
      <c r="J11" s="641">
        <v>0</v>
      </c>
      <c r="K11" s="641">
        <v>0</v>
      </c>
      <c r="L11" s="641">
        <v>0</v>
      </c>
      <c r="M11" s="641">
        <v>0</v>
      </c>
      <c r="N11" s="642" t="s">
        <v>2325</v>
      </c>
      <c r="O11" s="641">
        <f>+I11-(SUM(J11:N11))</f>
        <v>312980</v>
      </c>
      <c r="P11" s="441"/>
    </row>
    <row r="12" spans="1:16" ht="168.75" x14ac:dyDescent="0.4">
      <c r="A12" s="439">
        <v>4</v>
      </c>
      <c r="B12" s="438" t="s">
        <v>2703</v>
      </c>
      <c r="C12" s="440" t="s">
        <v>2704</v>
      </c>
      <c r="D12" s="639" t="s">
        <v>2705</v>
      </c>
      <c r="E12" s="640" t="s">
        <v>2155</v>
      </c>
      <c r="F12" s="435" t="s">
        <v>739</v>
      </c>
      <c r="G12" s="435" t="s">
        <v>2706</v>
      </c>
      <c r="H12" s="436" t="s">
        <v>2707</v>
      </c>
      <c r="I12" s="641">
        <v>9000</v>
      </c>
      <c r="J12" s="641">
        <v>450</v>
      </c>
      <c r="K12" s="641">
        <v>450</v>
      </c>
      <c r="L12" s="641">
        <v>0</v>
      </c>
      <c r="M12" s="641">
        <v>0</v>
      </c>
      <c r="N12" s="642"/>
      <c r="O12" s="641">
        <f>+I12-(SUM(J12:N12))</f>
        <v>8100</v>
      </c>
      <c r="P12" s="441"/>
    </row>
    <row r="13" spans="1:16" s="441" customFormat="1" ht="112.5" x14ac:dyDescent="0.2">
      <c r="A13" s="439">
        <v>5</v>
      </c>
      <c r="B13" s="438" t="s">
        <v>2703</v>
      </c>
      <c r="C13" s="440" t="s">
        <v>2708</v>
      </c>
      <c r="D13" s="639" t="s">
        <v>2709</v>
      </c>
      <c r="E13" s="640" t="s">
        <v>1185</v>
      </c>
      <c r="F13" s="435" t="s">
        <v>739</v>
      </c>
      <c r="G13" s="435" t="s">
        <v>1763</v>
      </c>
      <c r="H13" s="436" t="s">
        <v>2710</v>
      </c>
      <c r="I13" s="641">
        <v>85000</v>
      </c>
      <c r="J13" s="641">
        <v>0</v>
      </c>
      <c r="K13" s="641">
        <v>0</v>
      </c>
      <c r="L13" s="641">
        <v>0</v>
      </c>
      <c r="M13" s="641">
        <v>85000</v>
      </c>
      <c r="N13" s="642"/>
      <c r="O13" s="641">
        <f>+I13-(SUM(J13:N13))</f>
        <v>0</v>
      </c>
    </row>
    <row r="14" spans="1:16" s="441" customFormat="1" ht="131.25" x14ac:dyDescent="0.2">
      <c r="A14" s="439">
        <v>6</v>
      </c>
      <c r="B14" s="438" t="s">
        <v>2819</v>
      </c>
      <c r="C14" s="440" t="s">
        <v>2820</v>
      </c>
      <c r="D14" s="639" t="s">
        <v>2821</v>
      </c>
      <c r="E14" s="640" t="s">
        <v>1185</v>
      </c>
      <c r="F14" s="435" t="s">
        <v>739</v>
      </c>
      <c r="G14" s="435" t="s">
        <v>1763</v>
      </c>
      <c r="H14" s="436" t="s">
        <v>2822</v>
      </c>
      <c r="I14" s="641">
        <v>1023250</v>
      </c>
      <c r="J14" s="641">
        <v>0</v>
      </c>
      <c r="K14" s="641">
        <v>0</v>
      </c>
      <c r="L14" s="641">
        <v>0</v>
      </c>
      <c r="M14" s="641">
        <v>0</v>
      </c>
      <c r="N14" s="642" t="s">
        <v>1786</v>
      </c>
      <c r="O14" s="641">
        <f>+I14-(SUM(J14:N14))</f>
        <v>1023250</v>
      </c>
    </row>
    <row r="15" spans="1:16" s="441" customFormat="1" ht="131.25" x14ac:dyDescent="0.2">
      <c r="A15" s="439">
        <v>7</v>
      </c>
      <c r="B15" s="438" t="s">
        <v>2819</v>
      </c>
      <c r="C15" s="440" t="s">
        <v>2820</v>
      </c>
      <c r="D15" s="639" t="s">
        <v>2821</v>
      </c>
      <c r="E15" s="640" t="s">
        <v>2155</v>
      </c>
      <c r="F15" s="435" t="s">
        <v>739</v>
      </c>
      <c r="G15" s="435" t="s">
        <v>1763</v>
      </c>
      <c r="H15" s="436" t="s">
        <v>2823</v>
      </c>
      <c r="I15" s="641">
        <v>741400</v>
      </c>
      <c r="J15" s="641">
        <v>0</v>
      </c>
      <c r="K15" s="641">
        <v>0</v>
      </c>
      <c r="L15" s="641">
        <v>0</v>
      </c>
      <c r="M15" s="641">
        <v>0</v>
      </c>
      <c r="N15" s="642" t="s">
        <v>1786</v>
      </c>
      <c r="O15" s="641">
        <f>+I15-(SUM(J15:N15))</f>
        <v>741400</v>
      </c>
    </row>
    <row r="16" spans="1:16" s="441" customFormat="1" x14ac:dyDescent="0.2">
      <c r="A16" s="388" t="s">
        <v>360</v>
      </c>
      <c r="B16" s="389"/>
      <c r="C16" s="390"/>
      <c r="D16" s="637"/>
      <c r="E16" s="388"/>
      <c r="F16" s="391"/>
      <c r="G16" s="391"/>
      <c r="H16" s="392"/>
      <c r="I16" s="393">
        <f>SUM(I17:I25)</f>
        <v>1854502</v>
      </c>
      <c r="J16" s="393">
        <f t="shared" ref="J16:O16" si="1">SUM(J17:J25)</f>
        <v>44376</v>
      </c>
      <c r="K16" s="393">
        <f t="shared" si="1"/>
        <v>44376</v>
      </c>
      <c r="L16" s="393">
        <f t="shared" si="1"/>
        <v>63654.5</v>
      </c>
      <c r="M16" s="393">
        <f t="shared" si="1"/>
        <v>63654.5</v>
      </c>
      <c r="N16" s="393"/>
      <c r="O16" s="393">
        <f t="shared" si="1"/>
        <v>1638441</v>
      </c>
    </row>
    <row r="17" spans="1:15" s="441" customFormat="1" ht="150" x14ac:dyDescent="0.2">
      <c r="A17" s="439">
        <v>1</v>
      </c>
      <c r="B17" s="438" t="s">
        <v>2438</v>
      </c>
      <c r="C17" s="440" t="s">
        <v>2439</v>
      </c>
      <c r="D17" s="639" t="s">
        <v>2440</v>
      </c>
      <c r="E17" s="640" t="s">
        <v>2276</v>
      </c>
      <c r="F17" s="435" t="s">
        <v>360</v>
      </c>
      <c r="G17" s="435" t="s">
        <v>336</v>
      </c>
      <c r="H17" s="436" t="s">
        <v>2716</v>
      </c>
      <c r="I17" s="641">
        <v>490200</v>
      </c>
      <c r="J17" s="641">
        <v>0</v>
      </c>
      <c r="K17" s="641">
        <v>0</v>
      </c>
      <c r="L17" s="641">
        <v>39216</v>
      </c>
      <c r="M17" s="641">
        <v>39216</v>
      </c>
      <c r="N17" s="644"/>
      <c r="O17" s="641">
        <f>+I17-(SUM(J17:N17))</f>
        <v>411768</v>
      </c>
    </row>
    <row r="18" spans="1:15" s="441" customFormat="1" ht="262.5" x14ac:dyDescent="0.2">
      <c r="A18" s="439">
        <v>2</v>
      </c>
      <c r="B18" s="438" t="s">
        <v>2511</v>
      </c>
      <c r="C18" s="440" t="s">
        <v>2512</v>
      </c>
      <c r="D18" s="639" t="s">
        <v>2513</v>
      </c>
      <c r="E18" s="640" t="s">
        <v>2514</v>
      </c>
      <c r="F18" s="435" t="s">
        <v>360</v>
      </c>
      <c r="G18" s="435" t="s">
        <v>2310</v>
      </c>
      <c r="H18" s="436" t="s">
        <v>2717</v>
      </c>
      <c r="I18" s="641">
        <v>15877</v>
      </c>
      <c r="J18" s="641">
        <v>0</v>
      </c>
      <c r="K18" s="641">
        <v>0</v>
      </c>
      <c r="L18" s="641">
        <v>7938.5</v>
      </c>
      <c r="M18" s="641">
        <v>7938.5</v>
      </c>
      <c r="N18" s="644"/>
      <c r="O18" s="641">
        <f>+I18-(SUM(J18:N18))</f>
        <v>0</v>
      </c>
    </row>
    <row r="19" spans="1:15" s="441" customFormat="1" ht="131.25" x14ac:dyDescent="0.2">
      <c r="A19" s="439">
        <v>3</v>
      </c>
      <c r="B19" s="438" t="s">
        <v>2531</v>
      </c>
      <c r="C19" s="440" t="s">
        <v>2532</v>
      </c>
      <c r="D19" s="639" t="s">
        <v>2533</v>
      </c>
      <c r="E19" s="640" t="s">
        <v>2534</v>
      </c>
      <c r="F19" s="435" t="s">
        <v>360</v>
      </c>
      <c r="G19" s="435" t="s">
        <v>2535</v>
      </c>
      <c r="H19" s="436" t="s">
        <v>2718</v>
      </c>
      <c r="I19" s="641">
        <v>203490</v>
      </c>
      <c r="J19" s="641">
        <v>0</v>
      </c>
      <c r="K19" s="641">
        <v>0</v>
      </c>
      <c r="L19" s="641">
        <v>0</v>
      </c>
      <c r="M19" s="641">
        <v>0</v>
      </c>
      <c r="N19" s="642" t="s">
        <v>1786</v>
      </c>
      <c r="O19" s="641">
        <f>+I19-(SUM(J19:N19))</f>
        <v>203490</v>
      </c>
    </row>
    <row r="20" spans="1:15" s="441" customFormat="1" ht="150" x14ac:dyDescent="0.2">
      <c r="A20" s="439">
        <v>4</v>
      </c>
      <c r="B20" s="438" t="s">
        <v>2536</v>
      </c>
      <c r="C20" s="440" t="s">
        <v>2537</v>
      </c>
      <c r="D20" s="639" t="s">
        <v>2538</v>
      </c>
      <c r="E20" s="640" t="s">
        <v>2276</v>
      </c>
      <c r="F20" s="435" t="s">
        <v>360</v>
      </c>
      <c r="G20" s="435" t="s">
        <v>336</v>
      </c>
      <c r="H20" s="436" t="s">
        <v>2719</v>
      </c>
      <c r="I20" s="641">
        <v>367650</v>
      </c>
      <c r="J20" s="641">
        <v>29412</v>
      </c>
      <c r="K20" s="641">
        <v>29412</v>
      </c>
      <c r="L20" s="641">
        <v>0</v>
      </c>
      <c r="M20" s="641">
        <v>0</v>
      </c>
      <c r="N20" s="644"/>
      <c r="O20" s="641">
        <f>+I20-(SUM(J20:N20))</f>
        <v>308826</v>
      </c>
    </row>
    <row r="21" spans="1:15" s="441" customFormat="1" ht="168.75" x14ac:dyDescent="0.2">
      <c r="A21" s="439">
        <v>5</v>
      </c>
      <c r="B21" s="438" t="s">
        <v>2539</v>
      </c>
      <c r="C21" s="440" t="s">
        <v>2660</v>
      </c>
      <c r="D21" s="639" t="s">
        <v>2540</v>
      </c>
      <c r="E21" s="640" t="s">
        <v>2276</v>
      </c>
      <c r="F21" s="435" t="s">
        <v>360</v>
      </c>
      <c r="G21" s="435" t="s">
        <v>336</v>
      </c>
      <c r="H21" s="436" t="s">
        <v>2720</v>
      </c>
      <c r="I21" s="641">
        <v>187050</v>
      </c>
      <c r="J21" s="641">
        <v>14964</v>
      </c>
      <c r="K21" s="641">
        <v>14964</v>
      </c>
      <c r="L21" s="641">
        <v>0</v>
      </c>
      <c r="M21" s="641">
        <v>0</v>
      </c>
      <c r="N21" s="644"/>
      <c r="O21" s="641">
        <f>+I21-(SUM(J21:N21))</f>
        <v>157122</v>
      </c>
    </row>
    <row r="22" spans="1:15" s="441" customFormat="1" ht="150" x14ac:dyDescent="0.2">
      <c r="A22" s="439">
        <v>6</v>
      </c>
      <c r="B22" s="438" t="s">
        <v>2580</v>
      </c>
      <c r="C22" s="440" t="s">
        <v>2581</v>
      </c>
      <c r="D22" s="639" t="s">
        <v>2582</v>
      </c>
      <c r="E22" s="640" t="s">
        <v>2583</v>
      </c>
      <c r="F22" s="435" t="s">
        <v>360</v>
      </c>
      <c r="G22" s="435" t="s">
        <v>1144</v>
      </c>
      <c r="H22" s="436" t="s">
        <v>2721</v>
      </c>
      <c r="I22" s="641">
        <v>142500</v>
      </c>
      <c r="J22" s="641">
        <v>0</v>
      </c>
      <c r="K22" s="641">
        <v>0</v>
      </c>
      <c r="L22" s="641">
        <v>7125</v>
      </c>
      <c r="M22" s="641">
        <v>7125</v>
      </c>
      <c r="N22" s="644"/>
      <c r="O22" s="641">
        <f>+I22-(SUM(J22:N22))</f>
        <v>128250</v>
      </c>
    </row>
    <row r="23" spans="1:15" s="441" customFormat="1" ht="131.25" x14ac:dyDescent="0.2">
      <c r="A23" s="439">
        <v>7</v>
      </c>
      <c r="B23" s="438" t="s">
        <v>2688</v>
      </c>
      <c r="C23" s="440" t="s">
        <v>2689</v>
      </c>
      <c r="D23" s="639" t="s">
        <v>2690</v>
      </c>
      <c r="E23" s="640" t="s">
        <v>2534</v>
      </c>
      <c r="F23" s="435" t="s">
        <v>360</v>
      </c>
      <c r="G23" s="435" t="s">
        <v>2535</v>
      </c>
      <c r="H23" s="436" t="s">
        <v>2722</v>
      </c>
      <c r="I23" s="641">
        <v>203490</v>
      </c>
      <c r="J23" s="641">
        <v>0</v>
      </c>
      <c r="K23" s="641">
        <v>0</v>
      </c>
      <c r="L23" s="641">
        <v>0</v>
      </c>
      <c r="M23" s="641">
        <v>0</v>
      </c>
      <c r="N23" s="642" t="s">
        <v>1786</v>
      </c>
      <c r="O23" s="641">
        <f>+I23-(SUM(J23:N23))</f>
        <v>203490</v>
      </c>
    </row>
    <row r="24" spans="1:15" s="441" customFormat="1" ht="131.25" x14ac:dyDescent="0.2">
      <c r="A24" s="439">
        <v>8</v>
      </c>
      <c r="B24" s="438" t="s">
        <v>2824</v>
      </c>
      <c r="C24" s="440" t="s">
        <v>2825</v>
      </c>
      <c r="D24" s="639" t="s">
        <v>2826</v>
      </c>
      <c r="E24" s="640" t="s">
        <v>2534</v>
      </c>
      <c r="F24" s="435" t="s">
        <v>360</v>
      </c>
      <c r="G24" s="435" t="s">
        <v>2535</v>
      </c>
      <c r="H24" s="436" t="s">
        <v>2827</v>
      </c>
      <c r="I24" s="641">
        <v>101745</v>
      </c>
      <c r="J24" s="641">
        <v>0</v>
      </c>
      <c r="K24" s="641">
        <v>0</v>
      </c>
      <c r="L24" s="641">
        <v>2250</v>
      </c>
      <c r="M24" s="641">
        <v>2250</v>
      </c>
      <c r="N24" s="642"/>
      <c r="O24" s="641">
        <f>+I24-(SUM(J24:N24))</f>
        <v>97245</v>
      </c>
    </row>
    <row r="25" spans="1:15" s="441" customFormat="1" ht="150" x14ac:dyDescent="0.2">
      <c r="A25" s="439">
        <v>9</v>
      </c>
      <c r="B25" s="438" t="s">
        <v>2828</v>
      </c>
      <c r="C25" s="440" t="s">
        <v>2829</v>
      </c>
      <c r="D25" s="639" t="s">
        <v>2830</v>
      </c>
      <c r="E25" s="640" t="s">
        <v>2583</v>
      </c>
      <c r="F25" s="435" t="s">
        <v>360</v>
      </c>
      <c r="G25" s="435" t="s">
        <v>1144</v>
      </c>
      <c r="H25" s="436" t="s">
        <v>2831</v>
      </c>
      <c r="I25" s="641">
        <v>142500</v>
      </c>
      <c r="J25" s="641"/>
      <c r="K25" s="641"/>
      <c r="L25" s="641">
        <v>7125</v>
      </c>
      <c r="M25" s="641">
        <v>7125</v>
      </c>
      <c r="N25" s="642"/>
      <c r="O25" s="641">
        <f>+I25-(SUM(J25:N25))</f>
        <v>128250</v>
      </c>
    </row>
    <row r="26" spans="1:15" s="441" customFormat="1" x14ac:dyDescent="0.2">
      <c r="A26" s="388" t="s">
        <v>2126</v>
      </c>
      <c r="B26" s="389"/>
      <c r="C26" s="390"/>
      <c r="D26" s="637"/>
      <c r="E26" s="388"/>
      <c r="F26" s="391"/>
      <c r="G26" s="391"/>
      <c r="H26" s="392"/>
      <c r="I26" s="393">
        <f>SUM(I27:I29)</f>
        <v>427500</v>
      </c>
      <c r="J26" s="393">
        <f t="shared" ref="J26:O26" si="2">SUM(J27:J29)</f>
        <v>0</v>
      </c>
      <c r="K26" s="393">
        <f t="shared" si="2"/>
        <v>0</v>
      </c>
      <c r="L26" s="393">
        <f t="shared" si="2"/>
        <v>21375</v>
      </c>
      <c r="M26" s="393">
        <f t="shared" si="2"/>
        <v>21375</v>
      </c>
      <c r="N26" s="393"/>
      <c r="O26" s="393">
        <f t="shared" si="2"/>
        <v>384750</v>
      </c>
    </row>
    <row r="27" spans="1:15" s="441" customFormat="1" ht="168.75" x14ac:dyDescent="0.2">
      <c r="A27" s="439">
        <v>1</v>
      </c>
      <c r="B27" s="438" t="s">
        <v>2438</v>
      </c>
      <c r="C27" s="440" t="s">
        <v>2441</v>
      </c>
      <c r="D27" s="639" t="s">
        <v>2442</v>
      </c>
      <c r="E27" s="640" t="s">
        <v>2147</v>
      </c>
      <c r="F27" s="435" t="s">
        <v>2126</v>
      </c>
      <c r="G27" s="435" t="s">
        <v>1198</v>
      </c>
      <c r="H27" s="436" t="s">
        <v>2723</v>
      </c>
      <c r="I27" s="641">
        <v>171000</v>
      </c>
      <c r="J27" s="641">
        <v>0</v>
      </c>
      <c r="K27" s="641">
        <v>0</v>
      </c>
      <c r="L27" s="641">
        <v>8550</v>
      </c>
      <c r="M27" s="641">
        <v>8550</v>
      </c>
      <c r="N27" s="644"/>
      <c r="O27" s="641">
        <f>+I27-(SUM(J27:N27))</f>
        <v>153900</v>
      </c>
    </row>
    <row r="28" spans="1:15" s="441" customFormat="1" ht="150" x14ac:dyDescent="0.2">
      <c r="A28" s="439">
        <v>2</v>
      </c>
      <c r="B28" s="438" t="s">
        <v>2607</v>
      </c>
      <c r="C28" s="440" t="s">
        <v>2608</v>
      </c>
      <c r="D28" s="639" t="s">
        <v>2609</v>
      </c>
      <c r="E28" s="640" t="s">
        <v>2610</v>
      </c>
      <c r="F28" s="435" t="s">
        <v>2126</v>
      </c>
      <c r="G28" s="435" t="s">
        <v>1144</v>
      </c>
      <c r="H28" s="436" t="s">
        <v>2724</v>
      </c>
      <c r="I28" s="641">
        <v>142500</v>
      </c>
      <c r="J28" s="641">
        <v>0</v>
      </c>
      <c r="K28" s="641">
        <v>0</v>
      </c>
      <c r="L28" s="641">
        <v>7125</v>
      </c>
      <c r="M28" s="641">
        <v>7125</v>
      </c>
      <c r="N28" s="642"/>
      <c r="O28" s="641">
        <f>+I28-(SUM(J28:N28))</f>
        <v>128250</v>
      </c>
    </row>
    <row r="29" spans="1:15" s="441" customFormat="1" ht="168.75" x14ac:dyDescent="0.2">
      <c r="A29" s="439">
        <v>3</v>
      </c>
      <c r="B29" s="438" t="s">
        <v>2691</v>
      </c>
      <c r="C29" s="440" t="s">
        <v>2692</v>
      </c>
      <c r="D29" s="639" t="s">
        <v>2693</v>
      </c>
      <c r="E29" s="640" t="s">
        <v>2147</v>
      </c>
      <c r="F29" s="435" t="s">
        <v>2126</v>
      </c>
      <c r="G29" s="435" t="s">
        <v>1198</v>
      </c>
      <c r="H29" s="436" t="s">
        <v>2725</v>
      </c>
      <c r="I29" s="641">
        <v>114000</v>
      </c>
      <c r="J29" s="641">
        <v>0</v>
      </c>
      <c r="K29" s="641">
        <v>0</v>
      </c>
      <c r="L29" s="641">
        <v>5700</v>
      </c>
      <c r="M29" s="641">
        <v>5700</v>
      </c>
      <c r="N29" s="642"/>
      <c r="O29" s="641">
        <f>+I29-(SUM(J29:N29))</f>
        <v>102600</v>
      </c>
    </row>
    <row r="30" spans="1:15" s="441" customFormat="1" x14ac:dyDescent="0.2">
      <c r="A30" s="388" t="s">
        <v>161</v>
      </c>
      <c r="B30" s="389"/>
      <c r="C30" s="390"/>
      <c r="D30" s="637"/>
      <c r="E30" s="388"/>
      <c r="F30" s="391"/>
      <c r="G30" s="391"/>
      <c r="H30" s="392"/>
      <c r="I30" s="393">
        <f>SUM(I31:I54)</f>
        <v>6477213</v>
      </c>
      <c r="J30" s="393">
        <f t="shared" ref="J30:O30" si="3">SUM(J31:J54)</f>
        <v>171800</v>
      </c>
      <c r="K30" s="393">
        <f t="shared" si="3"/>
        <v>171800</v>
      </c>
      <c r="L30" s="393">
        <f t="shared" si="3"/>
        <v>111406</v>
      </c>
      <c r="M30" s="393">
        <f t="shared" si="3"/>
        <v>196406</v>
      </c>
      <c r="N30" s="393"/>
      <c r="O30" s="393">
        <f t="shared" si="3"/>
        <v>5825801</v>
      </c>
    </row>
    <row r="31" spans="1:15" s="441" customFormat="1" ht="168.75" x14ac:dyDescent="0.2">
      <c r="A31" s="439">
        <v>1</v>
      </c>
      <c r="B31" s="438" t="s">
        <v>2443</v>
      </c>
      <c r="C31" s="440" t="s">
        <v>2444</v>
      </c>
      <c r="D31" s="639" t="s">
        <v>2445</v>
      </c>
      <c r="E31" s="640" t="s">
        <v>2446</v>
      </c>
      <c r="F31" s="435" t="s">
        <v>161</v>
      </c>
      <c r="G31" s="435" t="s">
        <v>1897</v>
      </c>
      <c r="H31" s="436" t="s">
        <v>2727</v>
      </c>
      <c r="I31" s="641">
        <v>50000</v>
      </c>
      <c r="J31" s="641">
        <v>0</v>
      </c>
      <c r="K31" s="641">
        <v>0</v>
      </c>
      <c r="L31" s="641">
        <v>25000</v>
      </c>
      <c r="M31" s="641">
        <v>25000</v>
      </c>
      <c r="N31" s="642"/>
      <c r="O31" s="641">
        <f>+I31-(SUM(J31:N31))</f>
        <v>0</v>
      </c>
    </row>
    <row r="32" spans="1:15" s="441" customFormat="1" ht="93.75" x14ac:dyDescent="0.2">
      <c r="A32" s="439">
        <v>2</v>
      </c>
      <c r="B32" s="438" t="s">
        <v>2468</v>
      </c>
      <c r="C32" s="440" t="s">
        <v>2469</v>
      </c>
      <c r="D32" s="639" t="s">
        <v>2470</v>
      </c>
      <c r="E32" s="640" t="s">
        <v>1810</v>
      </c>
      <c r="F32" s="435" t="s">
        <v>161</v>
      </c>
      <c r="G32" s="435" t="s">
        <v>1198</v>
      </c>
      <c r="H32" s="436" t="s">
        <v>2728</v>
      </c>
      <c r="I32" s="641">
        <v>304000</v>
      </c>
      <c r="J32" s="641">
        <v>0</v>
      </c>
      <c r="K32" s="641">
        <v>0</v>
      </c>
      <c r="L32" s="641">
        <v>15200</v>
      </c>
      <c r="M32" s="641">
        <v>15200</v>
      </c>
      <c r="N32" s="644"/>
      <c r="O32" s="641">
        <f>+I32-(SUM(J32:N32))</f>
        <v>273600</v>
      </c>
    </row>
    <row r="33" spans="1:15" s="441" customFormat="1" ht="131.25" x14ac:dyDescent="0.2">
      <c r="A33" s="439">
        <v>3</v>
      </c>
      <c r="B33" s="438" t="s">
        <v>2471</v>
      </c>
      <c r="C33" s="440" t="s">
        <v>2472</v>
      </c>
      <c r="D33" s="639" t="s">
        <v>2473</v>
      </c>
      <c r="E33" s="640" t="s">
        <v>914</v>
      </c>
      <c r="F33" s="435" t="s">
        <v>161</v>
      </c>
      <c r="G33" s="435" t="s">
        <v>2474</v>
      </c>
      <c r="H33" s="436" t="s">
        <v>2729</v>
      </c>
      <c r="I33" s="641">
        <v>49000</v>
      </c>
      <c r="J33" s="641">
        <v>2450</v>
      </c>
      <c r="K33" s="641">
        <v>2450</v>
      </c>
      <c r="L33" s="641">
        <v>0</v>
      </c>
      <c r="M33" s="641">
        <v>0</v>
      </c>
      <c r="N33" s="644"/>
      <c r="O33" s="641">
        <f>+I33-(SUM(J33:N33))</f>
        <v>44100</v>
      </c>
    </row>
    <row r="34" spans="1:15" s="441" customFormat="1" ht="168.75" x14ac:dyDescent="0.2">
      <c r="A34" s="439">
        <v>4</v>
      </c>
      <c r="B34" s="438" t="s">
        <v>2528</v>
      </c>
      <c r="C34" s="440" t="s">
        <v>2529</v>
      </c>
      <c r="D34" s="639" t="s">
        <v>2530</v>
      </c>
      <c r="E34" s="640" t="s">
        <v>1810</v>
      </c>
      <c r="F34" s="435" t="s">
        <v>161</v>
      </c>
      <c r="G34" s="435" t="s">
        <v>2154</v>
      </c>
      <c r="H34" s="436" t="s">
        <v>2730</v>
      </c>
      <c r="I34" s="641">
        <v>615000</v>
      </c>
      <c r="J34" s="641">
        <v>0</v>
      </c>
      <c r="K34" s="641">
        <v>0</v>
      </c>
      <c r="L34" s="641">
        <v>0</v>
      </c>
      <c r="M34" s="641">
        <v>0</v>
      </c>
      <c r="N34" s="642" t="s">
        <v>1786</v>
      </c>
      <c r="O34" s="641">
        <f>+I34-(SUM(J34:N34))</f>
        <v>615000</v>
      </c>
    </row>
    <row r="35" spans="1:15" s="441" customFormat="1" ht="131.25" x14ac:dyDescent="0.2">
      <c r="A35" s="439">
        <v>5</v>
      </c>
      <c r="B35" s="438" t="s">
        <v>2528</v>
      </c>
      <c r="C35" s="440" t="s">
        <v>2529</v>
      </c>
      <c r="D35" s="639" t="s">
        <v>2530</v>
      </c>
      <c r="E35" s="640" t="s">
        <v>2165</v>
      </c>
      <c r="F35" s="435" t="s">
        <v>161</v>
      </c>
      <c r="G35" s="435" t="s">
        <v>2154</v>
      </c>
      <c r="H35" s="436" t="s">
        <v>2731</v>
      </c>
      <c r="I35" s="641">
        <v>369450</v>
      </c>
      <c r="J35" s="641">
        <v>0</v>
      </c>
      <c r="K35" s="641">
        <v>0</v>
      </c>
      <c r="L35" s="641">
        <v>0</v>
      </c>
      <c r="M35" s="641">
        <v>0</v>
      </c>
      <c r="N35" s="642" t="s">
        <v>1786</v>
      </c>
      <c r="O35" s="641">
        <f>+I35-(SUM(J35:N35))</f>
        <v>369450</v>
      </c>
    </row>
    <row r="36" spans="1:15" s="441" customFormat="1" ht="112.5" x14ac:dyDescent="0.2">
      <c r="A36" s="439">
        <v>6</v>
      </c>
      <c r="B36" s="438" t="s">
        <v>2536</v>
      </c>
      <c r="C36" s="440" t="s">
        <v>2542</v>
      </c>
      <c r="D36" s="639" t="s">
        <v>2543</v>
      </c>
      <c r="E36" s="640" t="s">
        <v>2165</v>
      </c>
      <c r="F36" s="435" t="s">
        <v>161</v>
      </c>
      <c r="G36" s="435" t="s">
        <v>1198</v>
      </c>
      <c r="H36" s="436" t="s">
        <v>2732</v>
      </c>
      <c r="I36" s="641">
        <v>85500</v>
      </c>
      <c r="J36" s="641">
        <v>4275</v>
      </c>
      <c r="K36" s="641">
        <v>4275</v>
      </c>
      <c r="L36" s="641">
        <v>0</v>
      </c>
      <c r="M36" s="641">
        <v>0</v>
      </c>
      <c r="N36" s="644"/>
      <c r="O36" s="641">
        <f>+I36-(SUM(J36:N36))</f>
        <v>76950</v>
      </c>
    </row>
    <row r="37" spans="1:15" s="441" customFormat="1" ht="93.75" x14ac:dyDescent="0.2">
      <c r="A37" s="439">
        <v>7</v>
      </c>
      <c r="B37" s="438" t="s">
        <v>2556</v>
      </c>
      <c r="C37" s="440" t="s">
        <v>2557</v>
      </c>
      <c r="D37" s="639" t="s">
        <v>2558</v>
      </c>
      <c r="E37" s="640" t="s">
        <v>1810</v>
      </c>
      <c r="F37" s="435" t="s">
        <v>161</v>
      </c>
      <c r="G37" s="435" t="s">
        <v>1198</v>
      </c>
      <c r="H37" s="436" t="s">
        <v>2733</v>
      </c>
      <c r="I37" s="641">
        <v>304000</v>
      </c>
      <c r="J37" s="641">
        <v>0</v>
      </c>
      <c r="K37" s="641">
        <v>0</v>
      </c>
      <c r="L37" s="641">
        <v>13563.5</v>
      </c>
      <c r="M37" s="641">
        <v>13563.5</v>
      </c>
      <c r="N37" s="644"/>
      <c r="O37" s="641">
        <f>+I37-(SUM(J37:N37))</f>
        <v>276873</v>
      </c>
    </row>
    <row r="38" spans="1:15" s="441" customFormat="1" ht="112.5" x14ac:dyDescent="0.2">
      <c r="A38" s="439">
        <v>8</v>
      </c>
      <c r="B38" s="438" t="s">
        <v>2584</v>
      </c>
      <c r="C38" s="440" t="s">
        <v>2585</v>
      </c>
      <c r="D38" s="639" t="s">
        <v>2586</v>
      </c>
      <c r="E38" s="640" t="s">
        <v>914</v>
      </c>
      <c r="F38" s="435" t="s">
        <v>161</v>
      </c>
      <c r="G38" s="435" t="s">
        <v>2587</v>
      </c>
      <c r="H38" s="436" t="s">
        <v>2734</v>
      </c>
      <c r="I38" s="641">
        <v>500000</v>
      </c>
      <c r="J38" s="641">
        <v>40000</v>
      </c>
      <c r="K38" s="641">
        <v>40000</v>
      </c>
      <c r="L38" s="641">
        <v>0</v>
      </c>
      <c r="M38" s="641">
        <v>0</v>
      </c>
      <c r="N38" s="644"/>
      <c r="O38" s="641">
        <f>+I38-(SUM(J38:N38))</f>
        <v>420000</v>
      </c>
    </row>
    <row r="39" spans="1:15" s="441" customFormat="1" ht="131.25" x14ac:dyDescent="0.2">
      <c r="A39" s="439">
        <v>9</v>
      </c>
      <c r="B39" s="438" t="s">
        <v>2580</v>
      </c>
      <c r="C39" s="440" t="s">
        <v>2588</v>
      </c>
      <c r="D39" s="639" t="s">
        <v>2589</v>
      </c>
      <c r="E39" s="640" t="s">
        <v>2590</v>
      </c>
      <c r="F39" s="435" t="s">
        <v>161</v>
      </c>
      <c r="G39" s="435" t="s">
        <v>1144</v>
      </c>
      <c r="H39" s="436" t="s">
        <v>2735</v>
      </c>
      <c r="I39" s="641">
        <v>142500</v>
      </c>
      <c r="J39" s="641"/>
      <c r="K39" s="641"/>
      <c r="L39" s="641">
        <v>7125</v>
      </c>
      <c r="M39" s="641">
        <v>7125</v>
      </c>
      <c r="N39" s="644"/>
      <c r="O39" s="641">
        <f>+I39-(SUM(J39:N39))</f>
        <v>128250</v>
      </c>
    </row>
    <row r="40" spans="1:15" s="441" customFormat="1" ht="187.5" x14ac:dyDescent="0.2">
      <c r="A40" s="439">
        <v>10</v>
      </c>
      <c r="B40" s="438" t="s">
        <v>2591</v>
      </c>
      <c r="C40" s="440" t="s">
        <v>2592</v>
      </c>
      <c r="D40" s="639" t="s">
        <v>2593</v>
      </c>
      <c r="E40" s="640" t="s">
        <v>1789</v>
      </c>
      <c r="F40" s="435" t="s">
        <v>161</v>
      </c>
      <c r="G40" s="435" t="s">
        <v>930</v>
      </c>
      <c r="H40" s="436" t="s">
        <v>2736</v>
      </c>
      <c r="I40" s="641">
        <v>205428</v>
      </c>
      <c r="J40" s="641">
        <v>87500</v>
      </c>
      <c r="K40" s="641">
        <v>87500</v>
      </c>
      <c r="L40" s="641">
        <v>0</v>
      </c>
      <c r="M40" s="641">
        <v>0</v>
      </c>
      <c r="N40" s="644"/>
      <c r="O40" s="641">
        <f>+I40-(SUM(J40:N40))</f>
        <v>30428</v>
      </c>
    </row>
    <row r="41" spans="1:15" s="441" customFormat="1" ht="168.75" x14ac:dyDescent="0.2">
      <c r="A41" s="439">
        <v>11</v>
      </c>
      <c r="B41" s="438" t="s">
        <v>2591</v>
      </c>
      <c r="C41" s="440" t="s">
        <v>2592</v>
      </c>
      <c r="D41" s="639" t="s">
        <v>2593</v>
      </c>
      <c r="E41" s="640" t="s">
        <v>1790</v>
      </c>
      <c r="F41" s="435" t="s">
        <v>161</v>
      </c>
      <c r="G41" s="435" t="s">
        <v>930</v>
      </c>
      <c r="H41" s="436" t="s">
        <v>2737</v>
      </c>
      <c r="I41" s="641">
        <v>136959</v>
      </c>
      <c r="J41" s="641">
        <v>0</v>
      </c>
      <c r="K41" s="641">
        <v>0</v>
      </c>
      <c r="L41" s="641">
        <v>0</v>
      </c>
      <c r="M41" s="641">
        <v>0</v>
      </c>
      <c r="N41" s="642" t="s">
        <v>1631</v>
      </c>
      <c r="O41" s="641">
        <f>+I41-(SUM(J41:N41))</f>
        <v>136959</v>
      </c>
    </row>
    <row r="42" spans="1:15" s="441" customFormat="1" ht="112.5" x14ac:dyDescent="0.2">
      <c r="A42" s="439">
        <v>12</v>
      </c>
      <c r="B42" s="438" t="s">
        <v>2611</v>
      </c>
      <c r="C42" s="440" t="s">
        <v>2612</v>
      </c>
      <c r="D42" s="639" t="s">
        <v>2613</v>
      </c>
      <c r="E42" s="640" t="s">
        <v>2165</v>
      </c>
      <c r="F42" s="435" t="s">
        <v>161</v>
      </c>
      <c r="G42" s="435" t="s">
        <v>1198</v>
      </c>
      <c r="H42" s="436" t="s">
        <v>2738</v>
      </c>
      <c r="I42" s="641">
        <v>85500</v>
      </c>
      <c r="J42" s="641">
        <v>0</v>
      </c>
      <c r="K42" s="641">
        <v>0</v>
      </c>
      <c r="L42" s="641">
        <v>3350</v>
      </c>
      <c r="M42" s="641">
        <v>3350</v>
      </c>
      <c r="N42" s="642"/>
      <c r="O42" s="641">
        <f>+I42-(SUM(J42:N42))</f>
        <v>78800</v>
      </c>
    </row>
    <row r="43" spans="1:15" s="441" customFormat="1" ht="168.75" x14ac:dyDescent="0.2">
      <c r="A43" s="439">
        <v>13</v>
      </c>
      <c r="B43" s="438" t="s">
        <v>2614</v>
      </c>
      <c r="C43" s="440" t="s">
        <v>2615</v>
      </c>
      <c r="D43" s="639" t="s">
        <v>2616</v>
      </c>
      <c r="E43" s="640" t="s">
        <v>2617</v>
      </c>
      <c r="F43" s="435" t="s">
        <v>161</v>
      </c>
      <c r="G43" s="435" t="s">
        <v>1198</v>
      </c>
      <c r="H43" s="436" t="s">
        <v>2739</v>
      </c>
      <c r="I43" s="641">
        <v>132525</v>
      </c>
      <c r="J43" s="641">
        <v>0</v>
      </c>
      <c r="K43" s="641">
        <v>0</v>
      </c>
      <c r="L43" s="641">
        <v>6626.25</v>
      </c>
      <c r="M43" s="641">
        <v>6626.25</v>
      </c>
      <c r="N43" s="642"/>
      <c r="O43" s="641">
        <f>+I43-(SUM(J43:N43))</f>
        <v>119272.5</v>
      </c>
    </row>
    <row r="44" spans="1:15" s="441" customFormat="1" ht="131.25" x14ac:dyDescent="0.2">
      <c r="A44" s="439">
        <v>14</v>
      </c>
      <c r="B44" s="438" t="s">
        <v>2607</v>
      </c>
      <c r="C44" s="440" t="s">
        <v>2618</v>
      </c>
      <c r="D44" s="639" t="s">
        <v>2619</v>
      </c>
      <c r="E44" s="640" t="s">
        <v>957</v>
      </c>
      <c r="F44" s="435" t="s">
        <v>161</v>
      </c>
      <c r="G44" s="435" t="s">
        <v>1198</v>
      </c>
      <c r="H44" s="436" t="s">
        <v>2740</v>
      </c>
      <c r="I44" s="641">
        <v>171000</v>
      </c>
      <c r="J44" s="641">
        <v>0</v>
      </c>
      <c r="K44" s="641">
        <v>0</v>
      </c>
      <c r="L44" s="641">
        <v>8550</v>
      </c>
      <c r="M44" s="641">
        <v>8550</v>
      </c>
      <c r="N44" s="642"/>
      <c r="O44" s="641">
        <f>+I44-(SUM(J44:N44))</f>
        <v>153900</v>
      </c>
    </row>
    <row r="45" spans="1:15" s="441" customFormat="1" ht="112.5" x14ac:dyDescent="0.2">
      <c r="A45" s="439">
        <v>15</v>
      </c>
      <c r="B45" s="438">
        <v>243741</v>
      </c>
      <c r="C45" s="440" t="s">
        <v>2638</v>
      </c>
      <c r="D45" s="639" t="s">
        <v>2639</v>
      </c>
      <c r="E45" s="640" t="s">
        <v>2165</v>
      </c>
      <c r="F45" s="435" t="s">
        <v>161</v>
      </c>
      <c r="G45" s="435" t="s">
        <v>1198</v>
      </c>
      <c r="H45" s="436" t="s">
        <v>2741</v>
      </c>
      <c r="I45" s="641">
        <v>22500</v>
      </c>
      <c r="J45" s="641">
        <v>0</v>
      </c>
      <c r="K45" s="641">
        <v>0</v>
      </c>
      <c r="L45" s="641">
        <v>0</v>
      </c>
      <c r="M45" s="641">
        <v>0</v>
      </c>
      <c r="N45" s="642" t="s">
        <v>1631</v>
      </c>
      <c r="O45" s="641">
        <f>+I45-(SUM(J45:N45))</f>
        <v>22500</v>
      </c>
    </row>
    <row r="46" spans="1:15" s="441" customFormat="1" ht="150" x14ac:dyDescent="0.2">
      <c r="A46" s="439">
        <v>16</v>
      </c>
      <c r="B46" s="438">
        <v>243774</v>
      </c>
      <c r="C46" s="440" t="s">
        <v>2661</v>
      </c>
      <c r="D46" s="639" t="s">
        <v>2662</v>
      </c>
      <c r="E46" s="640" t="s">
        <v>914</v>
      </c>
      <c r="F46" s="435" t="s">
        <v>161</v>
      </c>
      <c r="G46" s="435" t="s">
        <v>1039</v>
      </c>
      <c r="H46" s="436" t="s">
        <v>2726</v>
      </c>
      <c r="I46" s="641">
        <v>47500</v>
      </c>
      <c r="J46" s="641">
        <v>2375</v>
      </c>
      <c r="K46" s="641">
        <v>2375</v>
      </c>
      <c r="L46" s="641">
        <v>0</v>
      </c>
      <c r="M46" s="641">
        <v>0</v>
      </c>
      <c r="N46" s="642"/>
      <c r="O46" s="641">
        <f>+I46-(SUM(J46:N46))</f>
        <v>42750</v>
      </c>
    </row>
    <row r="47" spans="1:15" s="441" customFormat="1" ht="112.5" x14ac:dyDescent="0.2">
      <c r="A47" s="439">
        <v>17</v>
      </c>
      <c r="B47" s="438" t="s">
        <v>2694</v>
      </c>
      <c r="C47" s="440" t="s">
        <v>2695</v>
      </c>
      <c r="D47" s="639" t="s">
        <v>2696</v>
      </c>
      <c r="E47" s="640" t="s">
        <v>914</v>
      </c>
      <c r="F47" s="435" t="s">
        <v>161</v>
      </c>
      <c r="G47" s="435" t="s">
        <v>2587</v>
      </c>
      <c r="H47" s="436" t="s">
        <v>2742</v>
      </c>
      <c r="I47" s="641">
        <v>440000</v>
      </c>
      <c r="J47" s="641">
        <v>35200</v>
      </c>
      <c r="K47" s="641">
        <v>35200</v>
      </c>
      <c r="L47" s="641">
        <v>0</v>
      </c>
      <c r="M47" s="641">
        <v>0</v>
      </c>
      <c r="N47" s="642"/>
      <c r="O47" s="641">
        <f>+I47-(SUM(J47:N47))</f>
        <v>369600</v>
      </c>
    </row>
    <row r="48" spans="1:15" s="441" customFormat="1" ht="131.25" x14ac:dyDescent="0.2">
      <c r="A48" s="439">
        <v>18</v>
      </c>
      <c r="B48" s="438" t="s">
        <v>2703</v>
      </c>
      <c r="C48" s="440" t="s">
        <v>2708</v>
      </c>
      <c r="D48" s="639" t="s">
        <v>2709</v>
      </c>
      <c r="E48" s="640" t="s">
        <v>1810</v>
      </c>
      <c r="F48" s="435" t="s">
        <v>161</v>
      </c>
      <c r="G48" s="435" t="s">
        <v>1763</v>
      </c>
      <c r="H48" s="436" t="s">
        <v>2743</v>
      </c>
      <c r="I48" s="641">
        <v>135100</v>
      </c>
      <c r="J48" s="641">
        <v>0</v>
      </c>
      <c r="K48" s="641">
        <v>0</v>
      </c>
      <c r="L48" s="641">
        <v>0</v>
      </c>
      <c r="M48" s="641">
        <v>85000</v>
      </c>
      <c r="N48" s="642"/>
      <c r="O48" s="641">
        <f>+I48-(SUM(J48:N48))</f>
        <v>50100</v>
      </c>
    </row>
    <row r="49" spans="1:15" s="441" customFormat="1" ht="150" x14ac:dyDescent="0.2">
      <c r="A49" s="439">
        <v>19</v>
      </c>
      <c r="B49" s="438" t="s">
        <v>2819</v>
      </c>
      <c r="C49" s="440" t="s">
        <v>2820</v>
      </c>
      <c r="D49" s="639" t="s">
        <v>2821</v>
      </c>
      <c r="E49" s="640" t="s">
        <v>1810</v>
      </c>
      <c r="F49" s="435" t="s">
        <v>161</v>
      </c>
      <c r="G49" s="435" t="s">
        <v>1763</v>
      </c>
      <c r="H49" s="436" t="s">
        <v>2832</v>
      </c>
      <c r="I49" s="641">
        <v>1319136</v>
      </c>
      <c r="J49" s="641">
        <v>0</v>
      </c>
      <c r="K49" s="641">
        <v>0</v>
      </c>
      <c r="L49" s="641">
        <v>0</v>
      </c>
      <c r="M49" s="641">
        <v>0</v>
      </c>
      <c r="N49" s="642" t="s">
        <v>1786</v>
      </c>
      <c r="O49" s="641">
        <f>+I49-(SUM(J49:N49))</f>
        <v>1319136</v>
      </c>
    </row>
    <row r="50" spans="1:15" s="441" customFormat="1" ht="131.25" x14ac:dyDescent="0.2">
      <c r="A50" s="439">
        <v>20</v>
      </c>
      <c r="B50" s="438" t="s">
        <v>2819</v>
      </c>
      <c r="C50" s="440" t="s">
        <v>2820</v>
      </c>
      <c r="D50" s="639" t="s">
        <v>2821</v>
      </c>
      <c r="E50" s="640" t="s">
        <v>2833</v>
      </c>
      <c r="F50" s="435" t="s">
        <v>161</v>
      </c>
      <c r="G50" s="435" t="s">
        <v>1763</v>
      </c>
      <c r="H50" s="436" t="s">
        <v>2834</v>
      </c>
      <c r="I50" s="641">
        <v>819090</v>
      </c>
      <c r="J50" s="641">
        <v>0</v>
      </c>
      <c r="K50" s="641">
        <v>0</v>
      </c>
      <c r="L50" s="641">
        <v>0</v>
      </c>
      <c r="M50" s="641">
        <v>0</v>
      </c>
      <c r="N50" s="642" t="s">
        <v>2835</v>
      </c>
      <c r="O50" s="641">
        <f>+I50-(SUM(J50:N50))</f>
        <v>819090</v>
      </c>
    </row>
    <row r="51" spans="1:15" s="441" customFormat="1" ht="131.25" x14ac:dyDescent="0.2">
      <c r="A51" s="439">
        <v>21</v>
      </c>
      <c r="B51" s="438" t="s">
        <v>2836</v>
      </c>
      <c r="C51" s="440" t="s">
        <v>2837</v>
      </c>
      <c r="D51" s="639" t="s">
        <v>2838</v>
      </c>
      <c r="E51" s="640" t="s">
        <v>2590</v>
      </c>
      <c r="F51" s="435" t="s">
        <v>161</v>
      </c>
      <c r="G51" s="435" t="s">
        <v>1144</v>
      </c>
      <c r="H51" s="436" t="s">
        <v>2839</v>
      </c>
      <c r="I51" s="641">
        <v>142500</v>
      </c>
      <c r="J51" s="641">
        <v>0</v>
      </c>
      <c r="K51" s="641">
        <v>0</v>
      </c>
      <c r="L51" s="641">
        <v>7125</v>
      </c>
      <c r="M51" s="641">
        <v>7125</v>
      </c>
      <c r="N51" s="642"/>
      <c r="O51" s="641">
        <f>+I51-(SUM(J51:N51))</f>
        <v>128250</v>
      </c>
    </row>
    <row r="52" spans="1:15" s="441" customFormat="1" ht="150" x14ac:dyDescent="0.2">
      <c r="A52" s="439">
        <v>22</v>
      </c>
      <c r="B52" s="438" t="s">
        <v>2840</v>
      </c>
      <c r="C52" s="440" t="s">
        <v>2841</v>
      </c>
      <c r="D52" s="639" t="s">
        <v>2842</v>
      </c>
      <c r="E52" s="640" t="s">
        <v>2025</v>
      </c>
      <c r="F52" s="435" t="s">
        <v>161</v>
      </c>
      <c r="G52" s="435" t="s">
        <v>336</v>
      </c>
      <c r="H52" s="436" t="s">
        <v>2843</v>
      </c>
      <c r="I52" s="641">
        <v>228000</v>
      </c>
      <c r="J52" s="641">
        <v>0</v>
      </c>
      <c r="K52" s="641">
        <v>0</v>
      </c>
      <c r="L52" s="641">
        <v>18240</v>
      </c>
      <c r="M52" s="641">
        <v>18240</v>
      </c>
      <c r="N52" s="642"/>
      <c r="O52" s="641">
        <f>+I52-(SUM(J52:N52))</f>
        <v>191520</v>
      </c>
    </row>
    <row r="53" spans="1:15" s="441" customFormat="1" ht="93.75" x14ac:dyDescent="0.2">
      <c r="A53" s="439">
        <v>23</v>
      </c>
      <c r="B53" s="438" t="s">
        <v>2840</v>
      </c>
      <c r="C53" s="440" t="s">
        <v>2844</v>
      </c>
      <c r="D53" s="639" t="s">
        <v>2845</v>
      </c>
      <c r="E53" s="640" t="s">
        <v>1810</v>
      </c>
      <c r="F53" s="435" t="s">
        <v>161</v>
      </c>
      <c r="G53" s="435" t="s">
        <v>1198</v>
      </c>
      <c r="H53" s="436" t="s">
        <v>2846</v>
      </c>
      <c r="I53" s="641">
        <v>40000</v>
      </c>
      <c r="J53" s="641">
        <v>0</v>
      </c>
      <c r="K53" s="641">
        <v>0</v>
      </c>
      <c r="L53" s="641">
        <v>0</v>
      </c>
      <c r="M53" s="641">
        <v>0</v>
      </c>
      <c r="N53" s="642" t="s">
        <v>1631</v>
      </c>
      <c r="O53" s="641">
        <f>+I53-(SUM(J53:N53))</f>
        <v>40000</v>
      </c>
    </row>
    <row r="54" spans="1:15" s="441" customFormat="1" ht="168.75" x14ac:dyDescent="0.2">
      <c r="A54" s="439">
        <v>24</v>
      </c>
      <c r="B54" s="438" t="s">
        <v>2828</v>
      </c>
      <c r="C54" s="440" t="s">
        <v>2847</v>
      </c>
      <c r="D54" s="639" t="s">
        <v>2848</v>
      </c>
      <c r="E54" s="640" t="s">
        <v>2617</v>
      </c>
      <c r="F54" s="435" t="s">
        <v>161</v>
      </c>
      <c r="G54" s="435" t="s">
        <v>1198</v>
      </c>
      <c r="H54" s="436" t="s">
        <v>2849</v>
      </c>
      <c r="I54" s="641">
        <v>132525</v>
      </c>
      <c r="J54" s="641">
        <v>0</v>
      </c>
      <c r="K54" s="641">
        <v>0</v>
      </c>
      <c r="L54" s="641">
        <v>6626.25</v>
      </c>
      <c r="M54" s="641">
        <v>6626.25</v>
      </c>
      <c r="N54" s="642"/>
      <c r="O54" s="641">
        <f>+I54-(SUM(J54:N54))</f>
        <v>119272.5</v>
      </c>
    </row>
    <row r="55" spans="1:15" s="441" customFormat="1" x14ac:dyDescent="0.2">
      <c r="A55" s="388" t="s">
        <v>156</v>
      </c>
      <c r="B55" s="389"/>
      <c r="C55" s="390"/>
      <c r="D55" s="637"/>
      <c r="E55" s="388"/>
      <c r="F55" s="391"/>
      <c r="G55" s="391"/>
      <c r="H55" s="392"/>
      <c r="I55" s="393">
        <f>SUM(I56:I58)</f>
        <v>3238190</v>
      </c>
      <c r="J55" s="393">
        <f t="shared" ref="J55:O55" si="4">SUM(J56:J58)</f>
        <v>0</v>
      </c>
      <c r="K55" s="393">
        <f t="shared" si="4"/>
        <v>0</v>
      </c>
      <c r="L55" s="393">
        <f t="shared" si="4"/>
        <v>123050</v>
      </c>
      <c r="M55" s="393">
        <f t="shared" si="4"/>
        <v>123050</v>
      </c>
      <c r="N55" s="393"/>
      <c r="O55" s="393">
        <f t="shared" si="4"/>
        <v>2992090</v>
      </c>
    </row>
    <row r="56" spans="1:15" s="441" customFormat="1" ht="281.25" x14ac:dyDescent="0.2">
      <c r="A56" s="439">
        <v>1</v>
      </c>
      <c r="B56" s="438">
        <v>243788</v>
      </c>
      <c r="C56" s="440" t="s">
        <v>2663</v>
      </c>
      <c r="D56" s="639" t="s">
        <v>2664</v>
      </c>
      <c r="E56" s="640" t="s">
        <v>2665</v>
      </c>
      <c r="F56" s="435" t="s">
        <v>156</v>
      </c>
      <c r="G56" s="435" t="s">
        <v>1198</v>
      </c>
      <c r="H56" s="436" t="s">
        <v>2744</v>
      </c>
      <c r="I56" s="641">
        <v>38190</v>
      </c>
      <c r="J56" s="641">
        <v>0</v>
      </c>
      <c r="K56" s="641">
        <v>0</v>
      </c>
      <c r="L56" s="641">
        <v>0</v>
      </c>
      <c r="M56" s="641">
        <v>0</v>
      </c>
      <c r="N56" s="642" t="s">
        <v>2182</v>
      </c>
      <c r="O56" s="641">
        <f>+I56-(SUM(J56:N56))</f>
        <v>38190</v>
      </c>
    </row>
    <row r="57" spans="1:15" s="441" customFormat="1" ht="112.5" x14ac:dyDescent="0.2">
      <c r="A57" s="439">
        <v>2</v>
      </c>
      <c r="B57" s="438" t="s">
        <v>2819</v>
      </c>
      <c r="C57" s="440" t="s">
        <v>2850</v>
      </c>
      <c r="D57" s="639" t="s">
        <v>2851</v>
      </c>
      <c r="E57" s="640" t="s">
        <v>1268</v>
      </c>
      <c r="F57" s="435" t="s">
        <v>156</v>
      </c>
      <c r="G57" s="435" t="s">
        <v>2310</v>
      </c>
      <c r="H57" s="436" t="s">
        <v>2852</v>
      </c>
      <c r="I57" s="641">
        <v>2700000</v>
      </c>
      <c r="J57" s="641">
        <v>0</v>
      </c>
      <c r="K57" s="641">
        <v>0</v>
      </c>
      <c r="L57" s="641">
        <v>100000</v>
      </c>
      <c r="M57" s="641">
        <v>100000</v>
      </c>
      <c r="N57" s="642"/>
      <c r="O57" s="641">
        <f>+I57-(SUM(J57:N57))</f>
        <v>2500000</v>
      </c>
    </row>
    <row r="58" spans="1:15" s="441" customFormat="1" ht="131.25" x14ac:dyDescent="0.2">
      <c r="A58" s="439">
        <v>3</v>
      </c>
      <c r="B58" s="438" t="s">
        <v>2819</v>
      </c>
      <c r="C58" s="440" t="s">
        <v>2853</v>
      </c>
      <c r="D58" s="639" t="s">
        <v>2854</v>
      </c>
      <c r="E58" s="640" t="s">
        <v>1268</v>
      </c>
      <c r="F58" s="435" t="s">
        <v>156</v>
      </c>
      <c r="G58" s="435" t="s">
        <v>2855</v>
      </c>
      <c r="H58" s="436" t="s">
        <v>2856</v>
      </c>
      <c r="I58" s="641">
        <v>500000</v>
      </c>
      <c r="J58" s="641">
        <v>0</v>
      </c>
      <c r="K58" s="641">
        <v>0</v>
      </c>
      <c r="L58" s="641">
        <v>23050</v>
      </c>
      <c r="M58" s="641">
        <v>23050</v>
      </c>
      <c r="N58" s="642"/>
      <c r="O58" s="641">
        <f>+I58-(SUM(J58:N58))</f>
        <v>453900</v>
      </c>
    </row>
    <row r="59" spans="1:15" s="441" customFormat="1" x14ac:dyDescent="0.2">
      <c r="A59" s="388" t="s">
        <v>2434</v>
      </c>
      <c r="B59" s="389"/>
      <c r="C59" s="390"/>
      <c r="D59" s="637"/>
      <c r="E59" s="388"/>
      <c r="F59" s="391"/>
      <c r="G59" s="391"/>
      <c r="H59" s="392"/>
      <c r="I59" s="393">
        <f>SUM(I60:I96)</f>
        <v>10008958.6</v>
      </c>
      <c r="J59" s="393">
        <f t="shared" ref="J59:M59" si="5">SUM(J60:J96)</f>
        <v>205554.598</v>
      </c>
      <c r="K59" s="393">
        <f t="shared" si="5"/>
        <v>205554.598</v>
      </c>
      <c r="L59" s="393">
        <f t="shared" si="5"/>
        <v>138861</v>
      </c>
      <c r="M59" s="393">
        <f t="shared" si="5"/>
        <v>266361</v>
      </c>
      <c r="N59" s="393"/>
      <c r="O59" s="393">
        <f>SUM(O60:O96)</f>
        <v>9192627.4039999992</v>
      </c>
    </row>
    <row r="60" spans="1:15" s="441" customFormat="1" ht="131.25" x14ac:dyDescent="0.2">
      <c r="A60" s="439">
        <v>1</v>
      </c>
      <c r="B60" s="438" t="s">
        <v>2435</v>
      </c>
      <c r="C60" s="440" t="s">
        <v>2450</v>
      </c>
      <c r="D60" s="639" t="s">
        <v>2451</v>
      </c>
      <c r="E60" s="640" t="s">
        <v>451</v>
      </c>
      <c r="F60" s="435" t="s">
        <v>2434</v>
      </c>
      <c r="G60" s="435" t="s">
        <v>1162</v>
      </c>
      <c r="H60" s="436" t="s">
        <v>2747</v>
      </c>
      <c r="I60" s="641">
        <v>21000</v>
      </c>
      <c r="J60" s="641">
        <v>0</v>
      </c>
      <c r="K60" s="641">
        <v>0</v>
      </c>
      <c r="L60" s="641">
        <v>0</v>
      </c>
      <c r="M60" s="641">
        <v>0</v>
      </c>
      <c r="N60" s="642" t="s">
        <v>1911</v>
      </c>
      <c r="O60" s="641">
        <f>+I60-(SUM(J60:N60))</f>
        <v>21000</v>
      </c>
    </row>
    <row r="61" spans="1:15" s="441" customFormat="1" ht="150" x14ac:dyDescent="0.2">
      <c r="A61" s="439">
        <v>2</v>
      </c>
      <c r="B61" s="438" t="s">
        <v>2435</v>
      </c>
      <c r="C61" s="440" t="s">
        <v>2448</v>
      </c>
      <c r="D61" s="639" t="s">
        <v>2449</v>
      </c>
      <c r="E61" s="640" t="s">
        <v>451</v>
      </c>
      <c r="F61" s="435" t="s">
        <v>2434</v>
      </c>
      <c r="G61" s="435" t="s">
        <v>2154</v>
      </c>
      <c r="H61" s="436" t="s">
        <v>2748</v>
      </c>
      <c r="I61" s="641">
        <v>254000</v>
      </c>
      <c r="J61" s="641">
        <v>0</v>
      </c>
      <c r="K61" s="641">
        <v>0</v>
      </c>
      <c r="L61" s="641">
        <v>0</v>
      </c>
      <c r="M61" s="641">
        <v>0</v>
      </c>
      <c r="N61" s="642" t="s">
        <v>1786</v>
      </c>
      <c r="O61" s="641">
        <f>+I61-(SUM(J61:N61))</f>
        <v>254000</v>
      </c>
    </row>
    <row r="62" spans="1:15" s="441" customFormat="1" ht="112.5" x14ac:dyDescent="0.2">
      <c r="A62" s="439">
        <v>3</v>
      </c>
      <c r="B62" s="438" t="s">
        <v>2447</v>
      </c>
      <c r="C62" s="440" t="s">
        <v>2452</v>
      </c>
      <c r="D62" s="639" t="s">
        <v>2453</v>
      </c>
      <c r="E62" s="640" t="s">
        <v>2142</v>
      </c>
      <c r="F62" s="435" t="s">
        <v>2434</v>
      </c>
      <c r="G62" s="435" t="s">
        <v>1198</v>
      </c>
      <c r="H62" s="436" t="s">
        <v>2749</v>
      </c>
      <c r="I62" s="641">
        <v>165300</v>
      </c>
      <c r="J62" s="641">
        <v>0</v>
      </c>
      <c r="K62" s="641">
        <v>0</v>
      </c>
      <c r="L62" s="641">
        <v>8265</v>
      </c>
      <c r="M62" s="641">
        <v>8265</v>
      </c>
      <c r="N62" s="642"/>
      <c r="O62" s="641">
        <f>+I62-(SUM(J62:N62))</f>
        <v>148770</v>
      </c>
    </row>
    <row r="63" spans="1:15" s="441" customFormat="1" ht="150" x14ac:dyDescent="0.2">
      <c r="A63" s="439">
        <v>4</v>
      </c>
      <c r="B63" s="438" t="s">
        <v>2475</v>
      </c>
      <c r="C63" s="440" t="s">
        <v>2476</v>
      </c>
      <c r="D63" s="639" t="s">
        <v>2477</v>
      </c>
      <c r="E63" s="640" t="s">
        <v>1167</v>
      </c>
      <c r="F63" s="435" t="s">
        <v>2434</v>
      </c>
      <c r="G63" s="435" t="s">
        <v>2347</v>
      </c>
      <c r="H63" s="436" t="s">
        <v>2750</v>
      </c>
      <c r="I63" s="641">
        <v>120000</v>
      </c>
      <c r="J63" s="641">
        <v>6000</v>
      </c>
      <c r="K63" s="641">
        <v>6000</v>
      </c>
      <c r="L63" s="641">
        <v>0</v>
      </c>
      <c r="M63" s="641">
        <v>0</v>
      </c>
      <c r="N63" s="642"/>
      <c r="O63" s="641">
        <f>+I63-(SUM(J63:N63))</f>
        <v>108000</v>
      </c>
    </row>
    <row r="64" spans="1:15" s="441" customFormat="1" ht="112.5" x14ac:dyDescent="0.2">
      <c r="A64" s="439">
        <v>5</v>
      </c>
      <c r="B64" s="438" t="s">
        <v>2478</v>
      </c>
      <c r="C64" s="440" t="s">
        <v>2479</v>
      </c>
      <c r="D64" s="639" t="s">
        <v>2480</v>
      </c>
      <c r="E64" s="640" t="s">
        <v>2174</v>
      </c>
      <c r="F64" s="435" t="s">
        <v>2434</v>
      </c>
      <c r="G64" s="435" t="s">
        <v>1198</v>
      </c>
      <c r="H64" s="436" t="s">
        <v>2751</v>
      </c>
      <c r="I64" s="641">
        <v>144666</v>
      </c>
      <c r="J64" s="641">
        <v>0</v>
      </c>
      <c r="K64" s="641">
        <v>0</v>
      </c>
      <c r="L64" s="641">
        <v>0</v>
      </c>
      <c r="M64" s="641">
        <v>0</v>
      </c>
      <c r="N64" s="642" t="s">
        <v>2325</v>
      </c>
      <c r="O64" s="641">
        <f>+I64-(SUM(J64:N64))</f>
        <v>144666</v>
      </c>
    </row>
    <row r="65" spans="1:15" s="441" customFormat="1" ht="150" x14ac:dyDescent="0.2">
      <c r="A65" s="439">
        <v>6</v>
      </c>
      <c r="B65" s="438" t="s">
        <v>2515</v>
      </c>
      <c r="C65" s="440" t="s">
        <v>2516</v>
      </c>
      <c r="D65" s="639" t="s">
        <v>2517</v>
      </c>
      <c r="E65" s="640" t="s">
        <v>1167</v>
      </c>
      <c r="F65" s="435" t="s">
        <v>2434</v>
      </c>
      <c r="G65" s="435" t="s">
        <v>2347</v>
      </c>
      <c r="H65" s="436" t="s">
        <v>2752</v>
      </c>
      <c r="I65" s="641">
        <v>120000</v>
      </c>
      <c r="J65" s="641">
        <v>6000</v>
      </c>
      <c r="K65" s="641">
        <v>6000</v>
      </c>
      <c r="L65" s="641">
        <v>0</v>
      </c>
      <c r="M65" s="641">
        <v>0</v>
      </c>
      <c r="N65" s="642"/>
      <c r="O65" s="641">
        <f>+I65-(SUM(J65:N65))</f>
        <v>108000</v>
      </c>
    </row>
    <row r="66" spans="1:15" s="441" customFormat="1" ht="150" x14ac:dyDescent="0.2">
      <c r="A66" s="439">
        <v>7</v>
      </c>
      <c r="B66" s="438" t="s">
        <v>2518</v>
      </c>
      <c r="C66" s="440" t="s">
        <v>2519</v>
      </c>
      <c r="D66" s="639" t="s">
        <v>2520</v>
      </c>
      <c r="E66" s="640" t="s">
        <v>2343</v>
      </c>
      <c r="F66" s="435" t="s">
        <v>2434</v>
      </c>
      <c r="G66" s="435" t="s">
        <v>2249</v>
      </c>
      <c r="H66" s="436" t="s">
        <v>2753</v>
      </c>
      <c r="I66" s="641">
        <v>14000</v>
      </c>
      <c r="J66" s="641">
        <v>700</v>
      </c>
      <c r="K66" s="641">
        <v>700</v>
      </c>
      <c r="L66" s="641">
        <v>0</v>
      </c>
      <c r="M66" s="641">
        <v>0</v>
      </c>
      <c r="N66" s="642"/>
      <c r="O66" s="641">
        <f>+I66-(SUM(J66:N66))</f>
        <v>12600</v>
      </c>
    </row>
    <row r="67" spans="1:15" s="441" customFormat="1" ht="150" x14ac:dyDescent="0.2">
      <c r="A67" s="439">
        <v>8</v>
      </c>
      <c r="B67" s="438" t="s">
        <v>2528</v>
      </c>
      <c r="C67" s="440" t="s">
        <v>2529</v>
      </c>
      <c r="D67" s="639" t="s">
        <v>2530</v>
      </c>
      <c r="E67" s="640" t="s">
        <v>1894</v>
      </c>
      <c r="F67" s="435" t="s">
        <v>2434</v>
      </c>
      <c r="G67" s="435" t="s">
        <v>2154</v>
      </c>
      <c r="H67" s="436" t="s">
        <v>2754</v>
      </c>
      <c r="I67" s="641">
        <v>796402</v>
      </c>
      <c r="J67" s="641">
        <v>0</v>
      </c>
      <c r="K67" s="641">
        <v>0</v>
      </c>
      <c r="L67" s="641">
        <v>0</v>
      </c>
      <c r="M67" s="641">
        <v>0</v>
      </c>
      <c r="N67" s="642" t="s">
        <v>2325</v>
      </c>
      <c r="O67" s="641">
        <f>+I67-(SUM(J67:N67))</f>
        <v>796402</v>
      </c>
    </row>
    <row r="68" spans="1:15" s="441" customFormat="1" ht="168.75" x14ac:dyDescent="0.2">
      <c r="A68" s="439">
        <v>9</v>
      </c>
      <c r="B68" s="438" t="s">
        <v>2528</v>
      </c>
      <c r="C68" s="440" t="s">
        <v>2529</v>
      </c>
      <c r="D68" s="639" t="s">
        <v>2530</v>
      </c>
      <c r="E68" s="640" t="s">
        <v>2190</v>
      </c>
      <c r="F68" s="435" t="s">
        <v>2434</v>
      </c>
      <c r="G68" s="435" t="s">
        <v>2154</v>
      </c>
      <c r="H68" s="436" t="s">
        <v>2755</v>
      </c>
      <c r="I68" s="641">
        <v>332200</v>
      </c>
      <c r="J68" s="641">
        <v>0</v>
      </c>
      <c r="K68" s="641">
        <v>0</v>
      </c>
      <c r="L68" s="641">
        <v>0</v>
      </c>
      <c r="M68" s="641">
        <v>0</v>
      </c>
      <c r="N68" s="642" t="s">
        <v>2325</v>
      </c>
      <c r="O68" s="641">
        <f>+I68-(SUM(J68:N68))</f>
        <v>332200</v>
      </c>
    </row>
    <row r="69" spans="1:15" s="441" customFormat="1" ht="262.5" x14ac:dyDescent="0.2">
      <c r="A69" s="439">
        <v>10</v>
      </c>
      <c r="B69" s="438" t="s">
        <v>2541</v>
      </c>
      <c r="C69" s="440" t="s">
        <v>2544</v>
      </c>
      <c r="D69" s="639" t="s">
        <v>2545</v>
      </c>
      <c r="E69" s="640" t="s">
        <v>2183</v>
      </c>
      <c r="F69" s="435" t="s">
        <v>2434</v>
      </c>
      <c r="G69" s="435" t="s">
        <v>1198</v>
      </c>
      <c r="H69" s="436" t="s">
        <v>2756</v>
      </c>
      <c r="I69" s="641">
        <v>236160</v>
      </c>
      <c r="J69" s="641">
        <v>0</v>
      </c>
      <c r="K69" s="641">
        <v>0</v>
      </c>
      <c r="L69" s="641">
        <v>0</v>
      </c>
      <c r="M69" s="641">
        <v>0</v>
      </c>
      <c r="N69" s="642" t="s">
        <v>2182</v>
      </c>
      <c r="O69" s="641">
        <f>+I69-(SUM(J69:N69))</f>
        <v>236160</v>
      </c>
    </row>
    <row r="70" spans="1:15" s="441" customFormat="1" ht="300" x14ac:dyDescent="0.2">
      <c r="A70" s="439">
        <v>11</v>
      </c>
      <c r="B70" s="438" t="s">
        <v>2541</v>
      </c>
      <c r="C70" s="440" t="s">
        <v>2546</v>
      </c>
      <c r="D70" s="639" t="s">
        <v>2547</v>
      </c>
      <c r="E70" s="640" t="s">
        <v>2181</v>
      </c>
      <c r="F70" s="435" t="s">
        <v>2434</v>
      </c>
      <c r="G70" s="435" t="s">
        <v>1198</v>
      </c>
      <c r="H70" s="436" t="s">
        <v>2757</v>
      </c>
      <c r="I70" s="641">
        <v>240000</v>
      </c>
      <c r="J70" s="641">
        <v>0</v>
      </c>
      <c r="K70" s="641">
        <v>0</v>
      </c>
      <c r="L70" s="641">
        <v>0</v>
      </c>
      <c r="M70" s="641">
        <v>0</v>
      </c>
      <c r="N70" s="642" t="s">
        <v>2182</v>
      </c>
      <c r="O70" s="641">
        <f>+I70-(SUM(J70:N70))</f>
        <v>240000</v>
      </c>
    </row>
    <row r="71" spans="1:15" s="441" customFormat="1" ht="150" x14ac:dyDescent="0.2">
      <c r="A71" s="439">
        <v>12</v>
      </c>
      <c r="B71" s="438" t="s">
        <v>2536</v>
      </c>
      <c r="C71" s="440" t="s">
        <v>2548</v>
      </c>
      <c r="D71" s="639" t="s">
        <v>2549</v>
      </c>
      <c r="E71" s="640" t="s">
        <v>1167</v>
      </c>
      <c r="F71" s="435" t="s">
        <v>2434</v>
      </c>
      <c r="G71" s="435" t="s">
        <v>2347</v>
      </c>
      <c r="H71" s="436" t="s">
        <v>2758</v>
      </c>
      <c r="I71" s="641">
        <v>40000</v>
      </c>
      <c r="J71" s="641">
        <v>2000</v>
      </c>
      <c r="K71" s="641">
        <v>2000</v>
      </c>
      <c r="L71" s="641">
        <v>0</v>
      </c>
      <c r="M71" s="641">
        <v>0</v>
      </c>
      <c r="N71" s="642"/>
      <c r="O71" s="641">
        <f>+I71-(SUM(J71:N71))</f>
        <v>36000</v>
      </c>
    </row>
    <row r="72" spans="1:15" s="441" customFormat="1" ht="112.5" x14ac:dyDescent="0.2">
      <c r="A72" s="439">
        <v>13</v>
      </c>
      <c r="B72" s="438" t="s">
        <v>2559</v>
      </c>
      <c r="C72" s="440" t="s">
        <v>2560</v>
      </c>
      <c r="D72" s="639" t="s">
        <v>2561</v>
      </c>
      <c r="E72" s="640" t="s">
        <v>2142</v>
      </c>
      <c r="F72" s="435" t="s">
        <v>2434</v>
      </c>
      <c r="G72" s="435" t="s">
        <v>1198</v>
      </c>
      <c r="H72" s="436" t="s">
        <v>2759</v>
      </c>
      <c r="I72" s="641">
        <v>110200</v>
      </c>
      <c r="J72" s="641">
        <v>0</v>
      </c>
      <c r="K72" s="641">
        <v>0</v>
      </c>
      <c r="L72" s="641">
        <v>5510</v>
      </c>
      <c r="M72" s="641">
        <v>5510</v>
      </c>
      <c r="N72" s="642"/>
      <c r="O72" s="641">
        <f>+I72-(SUM(J72:N72))</f>
        <v>99180</v>
      </c>
    </row>
    <row r="73" spans="1:15" s="441" customFormat="1" ht="131.25" x14ac:dyDescent="0.2">
      <c r="A73" s="439">
        <v>14</v>
      </c>
      <c r="B73" s="438" t="s">
        <v>2562</v>
      </c>
      <c r="C73" s="440" t="s">
        <v>2563</v>
      </c>
      <c r="D73" s="639" t="s">
        <v>2564</v>
      </c>
      <c r="E73" s="640" t="s">
        <v>451</v>
      </c>
      <c r="F73" s="435" t="s">
        <v>2434</v>
      </c>
      <c r="G73" s="435" t="s">
        <v>2565</v>
      </c>
      <c r="H73" s="436" t="s">
        <v>2760</v>
      </c>
      <c r="I73" s="641">
        <v>271675</v>
      </c>
      <c r="J73" s="641">
        <v>13583.75</v>
      </c>
      <c r="K73" s="641">
        <v>13583.75</v>
      </c>
      <c r="L73" s="641">
        <v>0</v>
      </c>
      <c r="M73" s="641">
        <v>0</v>
      </c>
      <c r="N73" s="642"/>
      <c r="O73" s="641">
        <f>+I73-(SUM(J73:N73))</f>
        <v>244507.5</v>
      </c>
    </row>
    <row r="74" spans="1:15" s="441" customFormat="1" ht="93.75" x14ac:dyDescent="0.2">
      <c r="A74" s="439">
        <v>15</v>
      </c>
      <c r="B74" s="438" t="s">
        <v>2594</v>
      </c>
      <c r="C74" s="440" t="s">
        <v>2857</v>
      </c>
      <c r="D74" s="639" t="s">
        <v>2595</v>
      </c>
      <c r="E74" s="640" t="s">
        <v>2177</v>
      </c>
      <c r="F74" s="435" t="s">
        <v>2434</v>
      </c>
      <c r="G74" s="435" t="s">
        <v>1198</v>
      </c>
      <c r="H74" s="436" t="s">
        <v>2761</v>
      </c>
      <c r="I74" s="641">
        <v>128250</v>
      </c>
      <c r="J74" s="641">
        <v>0</v>
      </c>
      <c r="K74" s="641">
        <v>0</v>
      </c>
      <c r="L74" s="641">
        <v>6412.5</v>
      </c>
      <c r="M74" s="641">
        <v>6412.5</v>
      </c>
      <c r="N74" s="642"/>
      <c r="O74" s="641">
        <f>+I74-(SUM(J74:N74))</f>
        <v>115425</v>
      </c>
    </row>
    <row r="75" spans="1:15" s="441" customFormat="1" ht="168.75" x14ac:dyDescent="0.2">
      <c r="A75" s="439">
        <v>16</v>
      </c>
      <c r="B75" s="438" t="s">
        <v>2580</v>
      </c>
      <c r="C75" s="440" t="s">
        <v>2596</v>
      </c>
      <c r="D75" s="639" t="s">
        <v>2597</v>
      </c>
      <c r="E75" s="640" t="s">
        <v>2598</v>
      </c>
      <c r="F75" s="435" t="s">
        <v>2434</v>
      </c>
      <c r="G75" s="435" t="s">
        <v>1198</v>
      </c>
      <c r="H75" s="436" t="s">
        <v>2762</v>
      </c>
      <c r="I75" s="641">
        <v>172140</v>
      </c>
      <c r="J75" s="641">
        <v>0</v>
      </c>
      <c r="K75" s="641">
        <v>0</v>
      </c>
      <c r="L75" s="641">
        <v>8607</v>
      </c>
      <c r="M75" s="641">
        <v>8607</v>
      </c>
      <c r="N75" s="642"/>
      <c r="O75" s="641">
        <f>+I75-(SUM(J75:N75))</f>
        <v>154926</v>
      </c>
    </row>
    <row r="76" spans="1:15" s="441" customFormat="1" ht="150" x14ac:dyDescent="0.2">
      <c r="A76" s="439">
        <v>17</v>
      </c>
      <c r="B76" s="438" t="s">
        <v>2607</v>
      </c>
      <c r="C76" s="645" t="s">
        <v>2620</v>
      </c>
      <c r="D76" s="639" t="s">
        <v>2621</v>
      </c>
      <c r="E76" s="640" t="s">
        <v>2622</v>
      </c>
      <c r="F76" s="435" t="s">
        <v>2434</v>
      </c>
      <c r="G76" s="435" t="s">
        <v>1144</v>
      </c>
      <c r="H76" s="436" t="s">
        <v>2763</v>
      </c>
      <c r="I76" s="641">
        <v>199500</v>
      </c>
      <c r="J76" s="641">
        <v>0</v>
      </c>
      <c r="K76" s="641">
        <v>0</v>
      </c>
      <c r="L76" s="641">
        <v>9975</v>
      </c>
      <c r="M76" s="641">
        <v>9975</v>
      </c>
      <c r="N76" s="642"/>
      <c r="O76" s="641">
        <f>+I76-(SUM(J76:N76))</f>
        <v>179550</v>
      </c>
    </row>
    <row r="77" spans="1:15" s="441" customFormat="1" ht="150" x14ac:dyDescent="0.2">
      <c r="A77" s="439">
        <v>18</v>
      </c>
      <c r="B77" s="438" t="s">
        <v>2607</v>
      </c>
      <c r="C77" s="440" t="s">
        <v>2623</v>
      </c>
      <c r="D77" s="639" t="s">
        <v>2624</v>
      </c>
      <c r="E77" s="640" t="s">
        <v>2142</v>
      </c>
      <c r="F77" s="435" t="s">
        <v>2434</v>
      </c>
      <c r="G77" s="435" t="s">
        <v>1144</v>
      </c>
      <c r="H77" s="436" t="s">
        <v>2764</v>
      </c>
      <c r="I77" s="641">
        <v>185250</v>
      </c>
      <c r="J77" s="641">
        <v>0</v>
      </c>
      <c r="K77" s="641">
        <v>0</v>
      </c>
      <c r="L77" s="641">
        <v>9262.5</v>
      </c>
      <c r="M77" s="641">
        <v>9262.5</v>
      </c>
      <c r="N77" s="642"/>
      <c r="O77" s="641">
        <f>+I77-(SUM(J77:N77))</f>
        <v>166725</v>
      </c>
    </row>
    <row r="78" spans="1:15" s="441" customFormat="1" ht="131.25" x14ac:dyDescent="0.2">
      <c r="A78" s="439">
        <v>19</v>
      </c>
      <c r="B78" s="438" t="s">
        <v>2607</v>
      </c>
      <c r="C78" s="440" t="s">
        <v>2625</v>
      </c>
      <c r="D78" s="639" t="s">
        <v>2626</v>
      </c>
      <c r="E78" s="640" t="s">
        <v>2627</v>
      </c>
      <c r="F78" s="435" t="s">
        <v>2434</v>
      </c>
      <c r="G78" s="435" t="s">
        <v>1144</v>
      </c>
      <c r="H78" s="436" t="s">
        <v>2765</v>
      </c>
      <c r="I78" s="641">
        <v>199500</v>
      </c>
      <c r="J78" s="641">
        <v>0</v>
      </c>
      <c r="K78" s="641">
        <v>0</v>
      </c>
      <c r="L78" s="641">
        <v>9975</v>
      </c>
      <c r="M78" s="641">
        <v>9975</v>
      </c>
      <c r="N78" s="642"/>
      <c r="O78" s="641">
        <f>+I78-(SUM(J78:N78))</f>
        <v>179550</v>
      </c>
    </row>
    <row r="79" spans="1:15" s="441" customFormat="1" ht="93.75" x14ac:dyDescent="0.2">
      <c r="A79" s="439">
        <v>20</v>
      </c>
      <c r="B79" s="438">
        <v>243741</v>
      </c>
      <c r="C79" s="440" t="s">
        <v>2640</v>
      </c>
      <c r="D79" s="639" t="s">
        <v>2641</v>
      </c>
      <c r="E79" s="640" t="s">
        <v>2135</v>
      </c>
      <c r="F79" s="435" t="s">
        <v>2434</v>
      </c>
      <c r="G79" s="435" t="s">
        <v>1198</v>
      </c>
      <c r="H79" s="436" t="s">
        <v>2766</v>
      </c>
      <c r="I79" s="641">
        <v>128250</v>
      </c>
      <c r="J79" s="641">
        <v>0</v>
      </c>
      <c r="K79" s="641">
        <v>0</v>
      </c>
      <c r="L79" s="641">
        <v>6412.5</v>
      </c>
      <c r="M79" s="641">
        <v>6412.5</v>
      </c>
      <c r="N79" s="642"/>
      <c r="O79" s="641">
        <f>+I79-(SUM(J79:N79))</f>
        <v>115425</v>
      </c>
    </row>
    <row r="80" spans="1:15" s="441" customFormat="1" ht="112.5" x14ac:dyDescent="0.2">
      <c r="A80" s="439">
        <v>21</v>
      </c>
      <c r="B80" s="438">
        <v>243747</v>
      </c>
      <c r="C80" s="440" t="s">
        <v>2642</v>
      </c>
      <c r="D80" s="639" t="s">
        <v>2643</v>
      </c>
      <c r="E80" s="640" t="s">
        <v>2142</v>
      </c>
      <c r="F80" s="435" t="s">
        <v>2434</v>
      </c>
      <c r="G80" s="435" t="s">
        <v>1198</v>
      </c>
      <c r="H80" s="436" t="s">
        <v>2767</v>
      </c>
      <c r="I80" s="641">
        <v>110200</v>
      </c>
      <c r="J80" s="641">
        <v>0</v>
      </c>
      <c r="K80" s="641">
        <v>0</v>
      </c>
      <c r="L80" s="641">
        <v>5510</v>
      </c>
      <c r="M80" s="641">
        <v>5510</v>
      </c>
      <c r="N80" s="642"/>
      <c r="O80" s="641">
        <f>+I80-(SUM(J80:N80))</f>
        <v>99180</v>
      </c>
    </row>
    <row r="81" spans="1:16" s="441" customFormat="1" ht="131.25" x14ac:dyDescent="0.2">
      <c r="A81" s="439">
        <v>22</v>
      </c>
      <c r="B81" s="438">
        <v>243753</v>
      </c>
      <c r="C81" s="440" t="s">
        <v>2644</v>
      </c>
      <c r="D81" s="639" t="s">
        <v>2645</v>
      </c>
      <c r="E81" s="640" t="s">
        <v>1180</v>
      </c>
      <c r="F81" s="435" t="s">
        <v>2434</v>
      </c>
      <c r="G81" s="435" t="s">
        <v>1264</v>
      </c>
      <c r="H81" s="436" t="s">
        <v>2768</v>
      </c>
      <c r="I81" s="641">
        <v>20000</v>
      </c>
      <c r="J81" s="641">
        <v>1000</v>
      </c>
      <c r="K81" s="641">
        <v>1000</v>
      </c>
      <c r="L81" s="641">
        <v>0</v>
      </c>
      <c r="M81" s="641">
        <v>0</v>
      </c>
      <c r="N81" s="642"/>
      <c r="O81" s="641">
        <f>+I81-(SUM(J81:N81))</f>
        <v>18000</v>
      </c>
    </row>
    <row r="82" spans="1:16" s="441" customFormat="1" ht="75" x14ac:dyDescent="0.2">
      <c r="A82" s="439">
        <v>23</v>
      </c>
      <c r="B82" s="438">
        <v>243758</v>
      </c>
      <c r="C82" s="440" t="s">
        <v>2646</v>
      </c>
      <c r="D82" s="639" t="s">
        <v>2647</v>
      </c>
      <c r="E82" s="640" t="s">
        <v>2648</v>
      </c>
      <c r="F82" s="435" t="s">
        <v>2434</v>
      </c>
      <c r="G82" s="435" t="s">
        <v>2649</v>
      </c>
      <c r="H82" s="436" t="s">
        <v>2769</v>
      </c>
      <c r="I82" s="641">
        <v>981000</v>
      </c>
      <c r="J82" s="641">
        <v>78480</v>
      </c>
      <c r="K82" s="641">
        <v>78480</v>
      </c>
      <c r="L82" s="641">
        <v>0</v>
      </c>
      <c r="M82" s="641">
        <v>0</v>
      </c>
      <c r="N82" s="642"/>
      <c r="O82" s="641">
        <f>+I82-(SUM(J82:N82))</f>
        <v>824040</v>
      </c>
    </row>
    <row r="83" spans="1:16" s="441" customFormat="1" ht="112.5" x14ac:dyDescent="0.2">
      <c r="A83" s="439">
        <v>24</v>
      </c>
      <c r="B83" s="438">
        <v>243773</v>
      </c>
      <c r="C83" s="440" t="s">
        <v>2666</v>
      </c>
      <c r="D83" s="639" t="s">
        <v>2667</v>
      </c>
      <c r="E83" s="640" t="s">
        <v>2142</v>
      </c>
      <c r="F83" s="435" t="s">
        <v>2434</v>
      </c>
      <c r="G83" s="435" t="s">
        <v>1144</v>
      </c>
      <c r="H83" s="436" t="s">
        <v>2746</v>
      </c>
      <c r="I83" s="641">
        <v>355110</v>
      </c>
      <c r="J83" s="641">
        <v>0</v>
      </c>
      <c r="K83" s="641">
        <v>0</v>
      </c>
      <c r="L83" s="641">
        <v>17755.5</v>
      </c>
      <c r="M83" s="641">
        <v>17755.5</v>
      </c>
      <c r="N83" s="642"/>
      <c r="O83" s="641">
        <f>+I83-(SUM(J83:N83))</f>
        <v>319599</v>
      </c>
    </row>
    <row r="84" spans="1:16" s="441" customFormat="1" ht="112.5" x14ac:dyDescent="0.2">
      <c r="A84" s="439">
        <v>25</v>
      </c>
      <c r="B84" s="438">
        <v>243773</v>
      </c>
      <c r="C84" s="440" t="s">
        <v>2668</v>
      </c>
      <c r="D84" s="639" t="s">
        <v>2669</v>
      </c>
      <c r="E84" s="640" t="s">
        <v>2670</v>
      </c>
      <c r="F84" s="435" t="s">
        <v>2434</v>
      </c>
      <c r="G84" s="435" t="s">
        <v>2671</v>
      </c>
      <c r="H84" s="436" t="s">
        <v>2770</v>
      </c>
      <c r="I84" s="641">
        <v>178635.6</v>
      </c>
      <c r="J84" s="641">
        <v>14290.848</v>
      </c>
      <c r="K84" s="641">
        <v>14290.848</v>
      </c>
      <c r="L84" s="641">
        <v>0</v>
      </c>
      <c r="M84" s="641">
        <v>0</v>
      </c>
      <c r="N84" s="642"/>
      <c r="O84" s="641">
        <f>+I84-(SUM(J84:N84))</f>
        <v>150053.90400000001</v>
      </c>
    </row>
    <row r="85" spans="1:16" s="441" customFormat="1" ht="168.75" x14ac:dyDescent="0.2">
      <c r="A85" s="439">
        <v>26</v>
      </c>
      <c r="B85" s="438">
        <v>243788</v>
      </c>
      <c r="C85" s="440" t="s">
        <v>2672</v>
      </c>
      <c r="D85" s="639" t="s">
        <v>2673</v>
      </c>
      <c r="E85" s="640" t="s">
        <v>2598</v>
      </c>
      <c r="F85" s="435" t="s">
        <v>2434</v>
      </c>
      <c r="G85" s="435" t="s">
        <v>1198</v>
      </c>
      <c r="H85" s="436" t="s">
        <v>2771</v>
      </c>
      <c r="I85" s="641">
        <v>229520</v>
      </c>
      <c r="J85" s="641">
        <v>0</v>
      </c>
      <c r="K85" s="641">
        <v>0</v>
      </c>
      <c r="L85" s="641">
        <v>11476</v>
      </c>
      <c r="M85" s="641">
        <v>11476</v>
      </c>
      <c r="N85" s="642"/>
      <c r="O85" s="641">
        <f>+I85-(SUM(J85:N85))</f>
        <v>206568</v>
      </c>
    </row>
    <row r="86" spans="1:16" ht="112.5" x14ac:dyDescent="0.4">
      <c r="A86" s="439">
        <v>27</v>
      </c>
      <c r="B86" s="438">
        <v>243788</v>
      </c>
      <c r="C86" s="440" t="s">
        <v>2674</v>
      </c>
      <c r="D86" s="639" t="s">
        <v>2675</v>
      </c>
      <c r="E86" s="640" t="s">
        <v>2142</v>
      </c>
      <c r="F86" s="435" t="s">
        <v>2434</v>
      </c>
      <c r="G86" s="435" t="s">
        <v>1198</v>
      </c>
      <c r="H86" s="436" t="s">
        <v>2772</v>
      </c>
      <c r="I86" s="641">
        <v>29000</v>
      </c>
      <c r="J86" s="641">
        <v>0</v>
      </c>
      <c r="K86" s="641">
        <v>0</v>
      </c>
      <c r="L86" s="641">
        <v>1450</v>
      </c>
      <c r="M86" s="641">
        <v>1450</v>
      </c>
      <c r="N86" s="642"/>
      <c r="O86" s="641">
        <f>+I86-(SUM(J86:N86))</f>
        <v>26100</v>
      </c>
      <c r="P86" s="441"/>
    </row>
    <row r="87" spans="1:16" s="441" customFormat="1" ht="168.75" x14ac:dyDescent="0.2">
      <c r="A87" s="439">
        <v>28</v>
      </c>
      <c r="B87" s="438" t="s">
        <v>2703</v>
      </c>
      <c r="C87" s="440" t="s">
        <v>2773</v>
      </c>
      <c r="D87" s="639" t="s">
        <v>2774</v>
      </c>
      <c r="E87" s="640" t="s">
        <v>2775</v>
      </c>
      <c r="F87" s="435" t="s">
        <v>2434</v>
      </c>
      <c r="G87" s="435" t="s">
        <v>2776</v>
      </c>
      <c r="H87" s="436" t="s">
        <v>2777</v>
      </c>
      <c r="I87" s="641">
        <v>10000</v>
      </c>
      <c r="J87" s="641">
        <v>500</v>
      </c>
      <c r="K87" s="641">
        <v>500</v>
      </c>
      <c r="L87" s="641">
        <v>0</v>
      </c>
      <c r="M87" s="641">
        <v>0</v>
      </c>
      <c r="N87" s="642"/>
      <c r="O87" s="641">
        <f>+I87-(SUM(J87:N87))</f>
        <v>9000</v>
      </c>
    </row>
    <row r="88" spans="1:16" s="441" customFormat="1" ht="112.5" x14ac:dyDescent="0.2">
      <c r="A88" s="439">
        <v>29</v>
      </c>
      <c r="B88" s="438" t="s">
        <v>2703</v>
      </c>
      <c r="C88" s="440" t="s">
        <v>2708</v>
      </c>
      <c r="D88" s="639" t="s">
        <v>2709</v>
      </c>
      <c r="E88" s="640" t="s">
        <v>1894</v>
      </c>
      <c r="F88" s="435" t="s">
        <v>2434</v>
      </c>
      <c r="G88" s="435" t="s">
        <v>1763</v>
      </c>
      <c r="H88" s="436" t="s">
        <v>2745</v>
      </c>
      <c r="I88" s="641">
        <v>187500</v>
      </c>
      <c r="J88" s="641">
        <v>0</v>
      </c>
      <c r="K88" s="641">
        <v>0</v>
      </c>
      <c r="L88" s="641">
        <v>0</v>
      </c>
      <c r="M88" s="641">
        <v>127500</v>
      </c>
      <c r="N88" s="642"/>
      <c r="O88" s="641">
        <f>+I88-(SUM(J88:N88))</f>
        <v>60000</v>
      </c>
    </row>
    <row r="89" spans="1:16" s="441" customFormat="1" ht="131.25" x14ac:dyDescent="0.2">
      <c r="A89" s="439">
        <v>30</v>
      </c>
      <c r="B89" s="438" t="s">
        <v>2778</v>
      </c>
      <c r="C89" s="440" t="s">
        <v>2779</v>
      </c>
      <c r="D89" s="639" t="s">
        <v>2780</v>
      </c>
      <c r="E89" s="640" t="s">
        <v>2670</v>
      </c>
      <c r="F89" s="435" t="s">
        <v>2434</v>
      </c>
      <c r="G89" s="435" t="s">
        <v>2781</v>
      </c>
      <c r="H89" s="436" t="s">
        <v>2782</v>
      </c>
      <c r="I89" s="641">
        <v>1000000</v>
      </c>
      <c r="J89" s="641">
        <v>80000</v>
      </c>
      <c r="K89" s="641">
        <v>80000</v>
      </c>
      <c r="L89" s="641">
        <v>0</v>
      </c>
      <c r="M89" s="641">
        <v>0</v>
      </c>
      <c r="N89" s="642"/>
      <c r="O89" s="641">
        <f>+I89-(SUM(J89:N89))</f>
        <v>840000</v>
      </c>
    </row>
    <row r="90" spans="1:16" s="441" customFormat="1" ht="131.25" x14ac:dyDescent="0.2">
      <c r="A90" s="439">
        <v>31</v>
      </c>
      <c r="B90" s="438" t="s">
        <v>2819</v>
      </c>
      <c r="C90" s="440" t="s">
        <v>2858</v>
      </c>
      <c r="D90" s="639" t="s">
        <v>2859</v>
      </c>
      <c r="E90" s="640" t="s">
        <v>2627</v>
      </c>
      <c r="F90" s="435" t="s">
        <v>2434</v>
      </c>
      <c r="G90" s="435" t="s">
        <v>1144</v>
      </c>
      <c r="H90" s="436" t="s">
        <v>2860</v>
      </c>
      <c r="I90" s="641">
        <v>266000</v>
      </c>
      <c r="J90" s="641">
        <v>0</v>
      </c>
      <c r="K90" s="641">
        <v>0</v>
      </c>
      <c r="L90" s="641">
        <v>13300</v>
      </c>
      <c r="M90" s="641">
        <v>13300</v>
      </c>
      <c r="N90" s="642"/>
      <c r="O90" s="641">
        <f>+I90-(SUM(J90:N90))</f>
        <v>239400</v>
      </c>
    </row>
    <row r="91" spans="1:16" s="441" customFormat="1" ht="150" x14ac:dyDescent="0.2">
      <c r="A91" s="439">
        <v>32</v>
      </c>
      <c r="B91" s="438" t="s">
        <v>2819</v>
      </c>
      <c r="C91" s="440" t="s">
        <v>2820</v>
      </c>
      <c r="D91" s="639" t="s">
        <v>2821</v>
      </c>
      <c r="E91" s="640" t="s">
        <v>2861</v>
      </c>
      <c r="F91" s="435" t="s">
        <v>2434</v>
      </c>
      <c r="G91" s="435" t="s">
        <v>1763</v>
      </c>
      <c r="H91" s="436" t="s">
        <v>2862</v>
      </c>
      <c r="I91" s="641">
        <v>1741950</v>
      </c>
      <c r="J91" s="641">
        <v>0</v>
      </c>
      <c r="K91" s="641">
        <v>0</v>
      </c>
      <c r="L91" s="641">
        <v>0</v>
      </c>
      <c r="M91" s="641">
        <v>0</v>
      </c>
      <c r="N91" s="642" t="s">
        <v>1786</v>
      </c>
      <c r="O91" s="641">
        <f>+I91-(SUM(J91:N91))</f>
        <v>1741950</v>
      </c>
    </row>
    <row r="92" spans="1:16" s="441" customFormat="1" ht="168.75" x14ac:dyDescent="0.2">
      <c r="A92" s="439">
        <v>33</v>
      </c>
      <c r="B92" s="438" t="s">
        <v>2863</v>
      </c>
      <c r="C92" s="440" t="s">
        <v>2864</v>
      </c>
      <c r="D92" s="639" t="s">
        <v>2865</v>
      </c>
      <c r="E92" s="640" t="s">
        <v>1722</v>
      </c>
      <c r="F92" s="435" t="s">
        <v>2434</v>
      </c>
      <c r="G92" s="435" t="s">
        <v>2461</v>
      </c>
      <c r="H92" s="436" t="s">
        <v>2866</v>
      </c>
      <c r="I92" s="641">
        <v>60000</v>
      </c>
      <c r="J92" s="641">
        <v>3000</v>
      </c>
      <c r="K92" s="641">
        <v>3000</v>
      </c>
      <c r="L92" s="641">
        <v>0</v>
      </c>
      <c r="M92" s="641">
        <v>0</v>
      </c>
      <c r="N92" s="642"/>
      <c r="O92" s="641">
        <f>+I92-(SUM(J92:N92))</f>
        <v>54000</v>
      </c>
    </row>
    <row r="93" spans="1:16" s="441" customFormat="1" ht="93.75" x14ac:dyDescent="0.2">
      <c r="A93" s="439">
        <v>34</v>
      </c>
      <c r="B93" s="438" t="s">
        <v>2863</v>
      </c>
      <c r="C93" s="440" t="s">
        <v>2867</v>
      </c>
      <c r="D93" s="639" t="s">
        <v>2868</v>
      </c>
      <c r="E93" s="640" t="s">
        <v>2135</v>
      </c>
      <c r="F93" s="435" t="s">
        <v>2434</v>
      </c>
      <c r="G93" s="435" t="s">
        <v>1198</v>
      </c>
      <c r="H93" s="436" t="s">
        <v>2869</v>
      </c>
      <c r="I93" s="641">
        <v>85500</v>
      </c>
      <c r="J93" s="641">
        <v>0</v>
      </c>
      <c r="K93" s="641">
        <v>0</v>
      </c>
      <c r="L93" s="641">
        <v>4275</v>
      </c>
      <c r="M93" s="641">
        <v>4275</v>
      </c>
      <c r="N93" s="642"/>
      <c r="O93" s="641">
        <f>+I93-(SUM(J93:N93))</f>
        <v>76950</v>
      </c>
    </row>
    <row r="94" spans="1:16" s="441" customFormat="1" ht="150" x14ac:dyDescent="0.2">
      <c r="A94" s="439">
        <v>35</v>
      </c>
      <c r="B94" s="438" t="s">
        <v>2870</v>
      </c>
      <c r="C94" s="440" t="s">
        <v>2871</v>
      </c>
      <c r="D94" s="639" t="s">
        <v>2872</v>
      </c>
      <c r="E94" s="640" t="s">
        <v>2622</v>
      </c>
      <c r="F94" s="435" t="s">
        <v>2434</v>
      </c>
      <c r="G94" s="435" t="s">
        <v>1144</v>
      </c>
      <c r="H94" s="436" t="s">
        <v>2873</v>
      </c>
      <c r="I94" s="641">
        <v>266000</v>
      </c>
      <c r="J94" s="641">
        <v>0</v>
      </c>
      <c r="K94" s="641">
        <v>0</v>
      </c>
      <c r="L94" s="641">
        <v>13300</v>
      </c>
      <c r="M94" s="641">
        <v>13300</v>
      </c>
      <c r="N94" s="642"/>
      <c r="O94" s="641">
        <f>+I94-(SUM(J94:N94))</f>
        <v>239400</v>
      </c>
    </row>
    <row r="95" spans="1:16" s="441" customFormat="1" ht="150" x14ac:dyDescent="0.2">
      <c r="A95" s="439">
        <v>36</v>
      </c>
      <c r="B95" s="438" t="s">
        <v>2836</v>
      </c>
      <c r="C95" s="440" t="s">
        <v>2874</v>
      </c>
      <c r="D95" s="639" t="s">
        <v>2875</v>
      </c>
      <c r="E95" s="640" t="s">
        <v>1884</v>
      </c>
      <c r="F95" s="435" t="s">
        <v>2434</v>
      </c>
      <c r="G95" s="435" t="s">
        <v>2876</v>
      </c>
      <c r="H95" s="436" t="s">
        <v>2877</v>
      </c>
      <c r="I95" s="641">
        <v>416550</v>
      </c>
      <c r="J95" s="641">
        <v>0</v>
      </c>
      <c r="K95" s="641">
        <v>0</v>
      </c>
      <c r="L95" s="641">
        <v>0</v>
      </c>
      <c r="M95" s="641">
        <v>0</v>
      </c>
      <c r="N95" s="642" t="s">
        <v>1786</v>
      </c>
      <c r="O95" s="641">
        <f>+I95-(SUM(J95:N95))</f>
        <v>416550</v>
      </c>
    </row>
    <row r="96" spans="1:16" s="441" customFormat="1" ht="93.75" x14ac:dyDescent="0.2">
      <c r="A96" s="439">
        <v>37</v>
      </c>
      <c r="B96" s="438" t="s">
        <v>2828</v>
      </c>
      <c r="C96" s="440" t="s">
        <v>2878</v>
      </c>
      <c r="D96" s="639" t="s">
        <v>2879</v>
      </c>
      <c r="E96" s="640" t="s">
        <v>2177</v>
      </c>
      <c r="F96" s="435" t="s">
        <v>2434</v>
      </c>
      <c r="G96" s="435" t="s">
        <v>1198</v>
      </c>
      <c r="H96" s="436" t="s">
        <v>2880</v>
      </c>
      <c r="I96" s="641">
        <v>193500</v>
      </c>
      <c r="J96" s="641">
        <v>0</v>
      </c>
      <c r="K96" s="641">
        <v>0</v>
      </c>
      <c r="L96" s="641">
        <v>7375</v>
      </c>
      <c r="M96" s="641">
        <v>7375</v>
      </c>
      <c r="N96" s="642"/>
      <c r="O96" s="641">
        <f>+I96-(SUM(J96:N96))</f>
        <v>178750</v>
      </c>
    </row>
    <row r="97" spans="1:15" s="441" customFormat="1" x14ac:dyDescent="0.2">
      <c r="A97" s="388" t="s">
        <v>1229</v>
      </c>
      <c r="B97" s="389"/>
      <c r="C97" s="390"/>
      <c r="D97" s="637"/>
      <c r="E97" s="388"/>
      <c r="F97" s="391"/>
      <c r="G97" s="391"/>
      <c r="H97" s="392"/>
      <c r="I97" s="393">
        <f>SUM(I98:I101)</f>
        <v>535763</v>
      </c>
      <c r="J97" s="393">
        <f t="shared" ref="J97:O97" si="6">SUM(J98:J101)</f>
        <v>88000</v>
      </c>
      <c r="K97" s="393">
        <f t="shared" si="6"/>
        <v>88000</v>
      </c>
      <c r="L97" s="393">
        <f t="shared" si="6"/>
        <v>8407.5</v>
      </c>
      <c r="M97" s="393">
        <f t="shared" si="6"/>
        <v>8407.5</v>
      </c>
      <c r="N97" s="393"/>
      <c r="O97" s="393">
        <f t="shared" si="6"/>
        <v>342948</v>
      </c>
    </row>
    <row r="98" spans="1:15" s="441" customFormat="1" ht="93.75" x14ac:dyDescent="0.2">
      <c r="A98" s="439">
        <v>1</v>
      </c>
      <c r="B98" s="438" t="s">
        <v>2566</v>
      </c>
      <c r="C98" s="440" t="s">
        <v>2567</v>
      </c>
      <c r="D98" s="639" t="s">
        <v>2568</v>
      </c>
      <c r="E98" s="640" t="s">
        <v>1885</v>
      </c>
      <c r="F98" s="435" t="s">
        <v>1229</v>
      </c>
      <c r="G98" s="435" t="s">
        <v>1198</v>
      </c>
      <c r="H98" s="436" t="s">
        <v>2783</v>
      </c>
      <c r="I98" s="641">
        <v>168150</v>
      </c>
      <c r="J98" s="641">
        <v>0</v>
      </c>
      <c r="K98" s="641">
        <v>0</v>
      </c>
      <c r="L98" s="641">
        <v>8407.5</v>
      </c>
      <c r="M98" s="641">
        <v>8407.5</v>
      </c>
      <c r="N98" s="642"/>
      <c r="O98" s="641">
        <f>+I98-(SUM(J98:N98))</f>
        <v>151335</v>
      </c>
    </row>
    <row r="99" spans="1:15" s="441" customFormat="1" ht="150" x14ac:dyDescent="0.2">
      <c r="A99" s="439">
        <v>2</v>
      </c>
      <c r="B99" s="438" t="s">
        <v>2591</v>
      </c>
      <c r="C99" s="440" t="s">
        <v>2592</v>
      </c>
      <c r="D99" s="639" t="s">
        <v>2593</v>
      </c>
      <c r="E99" s="640" t="s">
        <v>1885</v>
      </c>
      <c r="F99" s="435" t="s">
        <v>1229</v>
      </c>
      <c r="G99" s="435" t="s">
        <v>930</v>
      </c>
      <c r="H99" s="436" t="s">
        <v>2784</v>
      </c>
      <c r="I99" s="641">
        <v>266306</v>
      </c>
      <c r="J99" s="641">
        <v>87500</v>
      </c>
      <c r="K99" s="641">
        <v>87500</v>
      </c>
      <c r="L99" s="641">
        <v>0</v>
      </c>
      <c r="M99" s="641">
        <v>0</v>
      </c>
      <c r="N99" s="642"/>
      <c r="O99" s="641">
        <f>+I99-(SUM(J99:N99))</f>
        <v>91306</v>
      </c>
    </row>
    <row r="100" spans="1:15" s="441" customFormat="1" ht="168.75" x14ac:dyDescent="0.2">
      <c r="A100" s="439">
        <v>3</v>
      </c>
      <c r="B100" s="438" t="s">
        <v>2591</v>
      </c>
      <c r="C100" s="440" t="s">
        <v>2592</v>
      </c>
      <c r="D100" s="639" t="s">
        <v>2593</v>
      </c>
      <c r="E100" s="640" t="s">
        <v>1886</v>
      </c>
      <c r="F100" s="435" t="s">
        <v>1229</v>
      </c>
      <c r="G100" s="435" t="s">
        <v>2154</v>
      </c>
      <c r="H100" s="436" t="s">
        <v>2785</v>
      </c>
      <c r="I100" s="641">
        <v>91307</v>
      </c>
      <c r="J100" s="641">
        <v>0</v>
      </c>
      <c r="K100" s="641">
        <v>0</v>
      </c>
      <c r="L100" s="641">
        <v>0</v>
      </c>
      <c r="M100" s="641">
        <v>0</v>
      </c>
      <c r="N100" s="642" t="s">
        <v>1631</v>
      </c>
      <c r="O100" s="641">
        <f>+I100-(SUM(J100:N100))</f>
        <v>91307</v>
      </c>
    </row>
    <row r="101" spans="1:15" s="441" customFormat="1" ht="168.75" x14ac:dyDescent="0.2">
      <c r="A101" s="439">
        <v>4</v>
      </c>
      <c r="B101" s="438" t="s">
        <v>2703</v>
      </c>
      <c r="C101" s="440" t="s">
        <v>2786</v>
      </c>
      <c r="D101" s="639" t="s">
        <v>2787</v>
      </c>
      <c r="E101" s="640" t="s">
        <v>1891</v>
      </c>
      <c r="F101" s="435" t="s">
        <v>1229</v>
      </c>
      <c r="G101" s="435" t="s">
        <v>2788</v>
      </c>
      <c r="H101" s="436" t="s">
        <v>2789</v>
      </c>
      <c r="I101" s="641">
        <v>10000</v>
      </c>
      <c r="J101" s="641">
        <v>500</v>
      </c>
      <c r="K101" s="641">
        <v>500</v>
      </c>
      <c r="L101" s="641">
        <v>0</v>
      </c>
      <c r="M101" s="641">
        <v>0</v>
      </c>
      <c r="N101" s="642"/>
      <c r="O101" s="641">
        <f>+I101-(SUM(J101:N101))</f>
        <v>9000</v>
      </c>
    </row>
    <row r="102" spans="1:15" s="441" customFormat="1" x14ac:dyDescent="0.2">
      <c r="A102" s="388" t="s">
        <v>19</v>
      </c>
      <c r="B102" s="389"/>
      <c r="C102" s="390"/>
      <c r="D102" s="637"/>
      <c r="E102" s="388"/>
      <c r="F102" s="391"/>
      <c r="G102" s="391"/>
      <c r="H102" s="392"/>
      <c r="I102" s="393">
        <f>SUM(I103:I113)</f>
        <v>3157400</v>
      </c>
      <c r="J102" s="393">
        <f t="shared" ref="J102:M102" si="7">SUM(J103:J113)</f>
        <v>13500</v>
      </c>
      <c r="K102" s="393">
        <f t="shared" si="7"/>
        <v>13500</v>
      </c>
      <c r="L102" s="393">
        <f t="shared" si="7"/>
        <v>49950</v>
      </c>
      <c r="M102" s="393">
        <f t="shared" si="7"/>
        <v>49950</v>
      </c>
      <c r="N102" s="393"/>
      <c r="O102" s="393">
        <f>SUM(O103:O113)</f>
        <v>3030500</v>
      </c>
    </row>
    <row r="103" spans="1:15" s="441" customFormat="1" ht="112.5" x14ac:dyDescent="0.2">
      <c r="A103" s="439">
        <v>1</v>
      </c>
      <c r="B103" s="438" t="s">
        <v>2443</v>
      </c>
      <c r="C103" s="440" t="s">
        <v>2550</v>
      </c>
      <c r="D103" s="639" t="s">
        <v>2454</v>
      </c>
      <c r="E103" s="640" t="s">
        <v>2138</v>
      </c>
      <c r="F103" s="435" t="s">
        <v>19</v>
      </c>
      <c r="G103" s="435" t="s">
        <v>1198</v>
      </c>
      <c r="H103" s="436" t="s">
        <v>2790</v>
      </c>
      <c r="I103" s="641">
        <v>171000</v>
      </c>
      <c r="J103" s="641">
        <v>0</v>
      </c>
      <c r="K103" s="641">
        <v>0</v>
      </c>
      <c r="L103" s="641">
        <v>8550</v>
      </c>
      <c r="M103" s="641">
        <v>8550</v>
      </c>
      <c r="N103" s="644"/>
      <c r="O103" s="641">
        <f>+I103-(SUM(J103:N103))</f>
        <v>153900</v>
      </c>
    </row>
    <row r="104" spans="1:15" s="441" customFormat="1" ht="112.5" x14ac:dyDescent="0.2">
      <c r="A104" s="439">
        <v>2</v>
      </c>
      <c r="B104" s="438" t="s">
        <v>2559</v>
      </c>
      <c r="C104" s="440" t="s">
        <v>2569</v>
      </c>
      <c r="D104" s="639" t="s">
        <v>2570</v>
      </c>
      <c r="E104" s="640" t="s">
        <v>2138</v>
      </c>
      <c r="F104" s="435" t="s">
        <v>19</v>
      </c>
      <c r="G104" s="435" t="s">
        <v>1198</v>
      </c>
      <c r="H104" s="436" t="s">
        <v>2791</v>
      </c>
      <c r="I104" s="641">
        <v>114000</v>
      </c>
      <c r="J104" s="641">
        <v>0</v>
      </c>
      <c r="K104" s="641">
        <v>0</v>
      </c>
      <c r="L104" s="641">
        <v>5700</v>
      </c>
      <c r="M104" s="641">
        <v>5700</v>
      </c>
      <c r="N104" s="644"/>
      <c r="O104" s="641">
        <f>+I104-(SUM(J104:N104))</f>
        <v>102600</v>
      </c>
    </row>
    <row r="105" spans="1:15" s="441" customFormat="1" ht="93.75" x14ac:dyDescent="0.2">
      <c r="A105" s="439">
        <v>3</v>
      </c>
      <c r="B105" s="438" t="s">
        <v>2599</v>
      </c>
      <c r="C105" s="440" t="s">
        <v>2600</v>
      </c>
      <c r="D105" s="639" t="s">
        <v>2601</v>
      </c>
      <c r="E105" s="640" t="s">
        <v>2602</v>
      </c>
      <c r="F105" s="435" t="s">
        <v>19</v>
      </c>
      <c r="G105" s="435" t="s">
        <v>2603</v>
      </c>
      <c r="H105" s="436" t="s">
        <v>2792</v>
      </c>
      <c r="I105" s="641">
        <v>150000</v>
      </c>
      <c r="J105" s="641">
        <v>7500</v>
      </c>
      <c r="K105" s="641">
        <v>7500</v>
      </c>
      <c r="L105" s="641">
        <v>0</v>
      </c>
      <c r="M105" s="641">
        <v>0</v>
      </c>
      <c r="N105" s="644"/>
      <c r="O105" s="641">
        <f>+I105-(SUM(J105:N105))</f>
        <v>135000</v>
      </c>
    </row>
    <row r="106" spans="1:15" s="441" customFormat="1" ht="187.5" x14ac:dyDescent="0.2">
      <c r="A106" s="439">
        <v>4</v>
      </c>
      <c r="B106" s="438" t="s">
        <v>2628</v>
      </c>
      <c r="C106" s="440" t="s">
        <v>2629</v>
      </c>
      <c r="D106" s="639" t="s">
        <v>2630</v>
      </c>
      <c r="E106" s="640" t="s">
        <v>2631</v>
      </c>
      <c r="F106" s="435" t="s">
        <v>19</v>
      </c>
      <c r="G106" s="435" t="s">
        <v>1198</v>
      </c>
      <c r="H106" s="436" t="s">
        <v>2793</v>
      </c>
      <c r="I106" s="641">
        <v>285000</v>
      </c>
      <c r="J106" s="641">
        <v>0</v>
      </c>
      <c r="K106" s="641">
        <v>0</v>
      </c>
      <c r="L106" s="641">
        <v>14250</v>
      </c>
      <c r="M106" s="641">
        <v>14250</v>
      </c>
      <c r="N106" s="642"/>
      <c r="O106" s="641">
        <f>+I106-(SUM(J106:N106))</f>
        <v>256500</v>
      </c>
    </row>
    <row r="107" spans="1:15" s="441" customFormat="1" ht="225" x14ac:dyDescent="0.2">
      <c r="A107" s="439">
        <v>5</v>
      </c>
      <c r="B107" s="438">
        <v>243747</v>
      </c>
      <c r="C107" s="440" t="s">
        <v>2650</v>
      </c>
      <c r="D107" s="639" t="s">
        <v>2651</v>
      </c>
      <c r="E107" s="640" t="s">
        <v>2194</v>
      </c>
      <c r="F107" s="435" t="s">
        <v>19</v>
      </c>
      <c r="G107" s="435" t="s">
        <v>2652</v>
      </c>
      <c r="H107" s="436" t="s">
        <v>2794</v>
      </c>
      <c r="I107" s="641">
        <v>120000</v>
      </c>
      <c r="J107" s="641">
        <v>6000</v>
      </c>
      <c r="K107" s="641">
        <v>6000</v>
      </c>
      <c r="L107" s="641">
        <v>0</v>
      </c>
      <c r="M107" s="641">
        <v>0</v>
      </c>
      <c r="N107" s="642"/>
      <c r="O107" s="641">
        <f>+I107-(SUM(J107:N107))</f>
        <v>108000</v>
      </c>
    </row>
    <row r="108" spans="1:15" s="441" customFormat="1" ht="112.5" x14ac:dyDescent="0.2">
      <c r="A108" s="439">
        <v>6</v>
      </c>
      <c r="B108" s="438">
        <v>243747</v>
      </c>
      <c r="C108" s="440" t="s">
        <v>2653</v>
      </c>
      <c r="D108" s="639" t="s">
        <v>2654</v>
      </c>
      <c r="E108" s="640" t="s">
        <v>2138</v>
      </c>
      <c r="F108" s="435" t="s">
        <v>19</v>
      </c>
      <c r="G108" s="435" t="s">
        <v>1198</v>
      </c>
      <c r="H108" s="436" t="s">
        <v>2795</v>
      </c>
      <c r="I108" s="641">
        <v>114000</v>
      </c>
      <c r="J108" s="641">
        <v>0</v>
      </c>
      <c r="K108" s="641">
        <v>0</v>
      </c>
      <c r="L108" s="641">
        <v>5700</v>
      </c>
      <c r="M108" s="641">
        <v>5700</v>
      </c>
      <c r="N108" s="642"/>
      <c r="O108" s="641">
        <f>+I108-(SUM(J108:N108))</f>
        <v>102600</v>
      </c>
    </row>
    <row r="109" spans="1:15" s="441" customFormat="1" ht="112.5" x14ac:dyDescent="0.2">
      <c r="A109" s="439">
        <v>7</v>
      </c>
      <c r="B109" s="438">
        <v>243773</v>
      </c>
      <c r="C109" s="440" t="s">
        <v>2676</v>
      </c>
      <c r="D109" s="639" t="s">
        <v>2677</v>
      </c>
      <c r="E109" s="640" t="s">
        <v>2138</v>
      </c>
      <c r="F109" s="435" t="s">
        <v>19</v>
      </c>
      <c r="G109" s="435" t="s">
        <v>1198</v>
      </c>
      <c r="H109" s="436" t="s">
        <v>2796</v>
      </c>
      <c r="I109" s="641">
        <v>30000</v>
      </c>
      <c r="J109" s="641">
        <v>0</v>
      </c>
      <c r="K109" s="641">
        <v>0</v>
      </c>
      <c r="L109" s="641">
        <v>1500</v>
      </c>
      <c r="M109" s="641">
        <v>1500</v>
      </c>
      <c r="N109" s="642"/>
      <c r="O109" s="641">
        <f>+I109-(SUM(J109:N109))</f>
        <v>27000</v>
      </c>
    </row>
    <row r="110" spans="1:15" s="441" customFormat="1" ht="225" x14ac:dyDescent="0.2">
      <c r="A110" s="439">
        <v>8</v>
      </c>
      <c r="B110" s="438" t="s">
        <v>2697</v>
      </c>
      <c r="C110" s="440" t="s">
        <v>2698</v>
      </c>
      <c r="D110" s="639" t="s">
        <v>2699</v>
      </c>
      <c r="E110" s="640" t="s">
        <v>2138</v>
      </c>
      <c r="F110" s="435" t="s">
        <v>19</v>
      </c>
      <c r="G110" s="435" t="s">
        <v>1763</v>
      </c>
      <c r="H110" s="436" t="s">
        <v>2797</v>
      </c>
      <c r="I110" s="641">
        <v>671000</v>
      </c>
      <c r="J110" s="641">
        <v>0</v>
      </c>
      <c r="K110" s="641">
        <v>0</v>
      </c>
      <c r="L110" s="641">
        <v>0</v>
      </c>
      <c r="M110" s="641">
        <v>0</v>
      </c>
      <c r="N110" s="642" t="s">
        <v>1786</v>
      </c>
      <c r="O110" s="641">
        <f>+I110-(SUM(J110:N110))</f>
        <v>671000</v>
      </c>
    </row>
    <row r="111" spans="1:15" s="441" customFormat="1" ht="187.5" x14ac:dyDescent="0.2">
      <c r="A111" s="439">
        <v>9</v>
      </c>
      <c r="B111" s="438" t="s">
        <v>2697</v>
      </c>
      <c r="C111" s="440" t="s">
        <v>2698</v>
      </c>
      <c r="D111" s="639" t="s">
        <v>2699</v>
      </c>
      <c r="E111" s="640" t="s">
        <v>2198</v>
      </c>
      <c r="F111" s="435" t="s">
        <v>19</v>
      </c>
      <c r="G111" s="435" t="s">
        <v>1763</v>
      </c>
      <c r="H111" s="436" t="s">
        <v>2798</v>
      </c>
      <c r="I111" s="641">
        <v>671000</v>
      </c>
      <c r="J111" s="641">
        <v>0</v>
      </c>
      <c r="K111" s="641">
        <v>0</v>
      </c>
      <c r="L111" s="641">
        <v>0</v>
      </c>
      <c r="M111" s="641">
        <v>0</v>
      </c>
      <c r="N111" s="642" t="s">
        <v>1786</v>
      </c>
      <c r="O111" s="641">
        <f>+I111-(SUM(J111:N111))</f>
        <v>671000</v>
      </c>
    </row>
    <row r="112" spans="1:15" s="441" customFormat="1" ht="168.75" x14ac:dyDescent="0.2">
      <c r="A112" s="439">
        <v>10</v>
      </c>
      <c r="B112" s="438" t="s">
        <v>2836</v>
      </c>
      <c r="C112" s="440" t="s">
        <v>2874</v>
      </c>
      <c r="D112" s="639" t="s">
        <v>2875</v>
      </c>
      <c r="E112" s="640" t="s">
        <v>2881</v>
      </c>
      <c r="F112" s="435" t="s">
        <v>19</v>
      </c>
      <c r="G112" s="435" t="s">
        <v>1763</v>
      </c>
      <c r="H112" s="436" t="s">
        <v>2882</v>
      </c>
      <c r="I112" s="641">
        <v>546400</v>
      </c>
      <c r="J112" s="641">
        <v>0</v>
      </c>
      <c r="K112" s="641">
        <v>0</v>
      </c>
      <c r="L112" s="641">
        <v>0</v>
      </c>
      <c r="M112" s="641">
        <v>0</v>
      </c>
      <c r="N112" s="642" t="s">
        <v>1786</v>
      </c>
      <c r="O112" s="641">
        <f>+I112-(SUM(J112:N112))</f>
        <v>546400</v>
      </c>
    </row>
    <row r="113" spans="1:15" s="441" customFormat="1" ht="187.5" x14ac:dyDescent="0.2">
      <c r="A113" s="439">
        <v>11</v>
      </c>
      <c r="B113" s="438" t="s">
        <v>2828</v>
      </c>
      <c r="C113" s="440" t="s">
        <v>2883</v>
      </c>
      <c r="D113" s="639" t="s">
        <v>2884</v>
      </c>
      <c r="E113" s="640" t="s">
        <v>2631</v>
      </c>
      <c r="F113" s="435" t="s">
        <v>19</v>
      </c>
      <c r="G113" s="435" t="s">
        <v>1198</v>
      </c>
      <c r="H113" s="436" t="s">
        <v>2885</v>
      </c>
      <c r="I113" s="641">
        <v>285000</v>
      </c>
      <c r="J113" s="641">
        <v>0</v>
      </c>
      <c r="K113" s="641">
        <v>0</v>
      </c>
      <c r="L113" s="641">
        <v>14250</v>
      </c>
      <c r="M113" s="641">
        <v>14250</v>
      </c>
      <c r="N113" s="642"/>
      <c r="O113" s="641">
        <f>+I113-(SUM(J113:N113))</f>
        <v>256500</v>
      </c>
    </row>
    <row r="114" spans="1:15" s="441" customFormat="1" x14ac:dyDescent="0.2">
      <c r="A114" s="388" t="s">
        <v>117</v>
      </c>
      <c r="B114" s="389"/>
      <c r="C114" s="390"/>
      <c r="D114" s="637"/>
      <c r="E114" s="388"/>
      <c r="F114" s="391"/>
      <c r="G114" s="391"/>
      <c r="H114" s="392"/>
      <c r="I114" s="393">
        <f>SUM(I115:I134)</f>
        <v>4633050</v>
      </c>
      <c r="J114" s="393">
        <f t="shared" ref="J114:O114" si="8">SUM(J115:J134)</f>
        <v>207750</v>
      </c>
      <c r="K114" s="393">
        <f t="shared" si="8"/>
        <v>207750</v>
      </c>
      <c r="L114" s="393">
        <f t="shared" si="8"/>
        <v>9500</v>
      </c>
      <c r="M114" s="393">
        <f t="shared" si="8"/>
        <v>9500</v>
      </c>
      <c r="N114" s="393"/>
      <c r="O114" s="393">
        <f t="shared" si="8"/>
        <v>4198550</v>
      </c>
    </row>
    <row r="115" spans="1:15" s="441" customFormat="1" ht="150" x14ac:dyDescent="0.2">
      <c r="A115" s="439">
        <v>1</v>
      </c>
      <c r="B115" s="438" t="s">
        <v>2435</v>
      </c>
      <c r="C115" s="440" t="s">
        <v>2448</v>
      </c>
      <c r="D115" s="639" t="s">
        <v>2449</v>
      </c>
      <c r="E115" s="640" t="s">
        <v>2205</v>
      </c>
      <c r="F115" s="435" t="s">
        <v>117</v>
      </c>
      <c r="G115" s="435" t="s">
        <v>1763</v>
      </c>
      <c r="H115" s="436" t="s">
        <v>2712</v>
      </c>
      <c r="I115" s="641">
        <v>288050</v>
      </c>
      <c r="J115" s="641">
        <v>0</v>
      </c>
      <c r="K115" s="641">
        <v>0</v>
      </c>
      <c r="L115" s="641">
        <v>0</v>
      </c>
      <c r="M115" s="641">
        <v>0</v>
      </c>
      <c r="N115" s="642" t="s">
        <v>1786</v>
      </c>
      <c r="O115" s="641">
        <f>+I115-(SUM(J115:N115))</f>
        <v>288050</v>
      </c>
    </row>
    <row r="116" spans="1:15" s="441" customFormat="1" ht="93.75" x14ac:dyDescent="0.2">
      <c r="A116" s="439">
        <v>2</v>
      </c>
      <c r="B116" s="438" t="s">
        <v>2455</v>
      </c>
      <c r="C116" s="440" t="s">
        <v>2456</v>
      </c>
      <c r="D116" s="639" t="s">
        <v>2457</v>
      </c>
      <c r="E116" s="640" t="s">
        <v>115</v>
      </c>
      <c r="F116" s="435" t="s">
        <v>117</v>
      </c>
      <c r="G116" s="435" t="s">
        <v>2458</v>
      </c>
      <c r="H116" s="436" t="s">
        <v>1766</v>
      </c>
      <c r="I116" s="641">
        <v>255000</v>
      </c>
      <c r="J116" s="641">
        <v>12750</v>
      </c>
      <c r="K116" s="641">
        <v>12750</v>
      </c>
      <c r="L116" s="641">
        <v>0</v>
      </c>
      <c r="M116" s="641">
        <v>0</v>
      </c>
      <c r="N116" s="644"/>
      <c r="O116" s="641">
        <f>+I116-(SUM(J116:N116))</f>
        <v>229500</v>
      </c>
    </row>
    <row r="117" spans="1:15" s="441" customFormat="1" ht="93.75" x14ac:dyDescent="0.2">
      <c r="A117" s="439">
        <v>3</v>
      </c>
      <c r="B117" s="438" t="s">
        <v>2481</v>
      </c>
      <c r="C117" s="440" t="s">
        <v>2482</v>
      </c>
      <c r="D117" s="639" t="s">
        <v>2483</v>
      </c>
      <c r="E117" s="640" t="s">
        <v>115</v>
      </c>
      <c r="F117" s="435" t="s">
        <v>117</v>
      </c>
      <c r="G117" s="435" t="s">
        <v>544</v>
      </c>
      <c r="H117" s="436" t="s">
        <v>1766</v>
      </c>
      <c r="I117" s="641">
        <v>407000</v>
      </c>
      <c r="J117" s="641">
        <v>20350</v>
      </c>
      <c r="K117" s="641">
        <v>20350</v>
      </c>
      <c r="L117" s="641">
        <v>0</v>
      </c>
      <c r="M117" s="641">
        <v>0</v>
      </c>
      <c r="N117" s="644"/>
      <c r="O117" s="641">
        <f>+I117-(SUM(J117:N117))</f>
        <v>366300</v>
      </c>
    </row>
    <row r="118" spans="1:15" s="441" customFormat="1" ht="93.75" x14ac:dyDescent="0.2">
      <c r="A118" s="439">
        <v>4</v>
      </c>
      <c r="B118" s="438" t="s">
        <v>2484</v>
      </c>
      <c r="C118" s="440" t="s">
        <v>2485</v>
      </c>
      <c r="D118" s="639" t="s">
        <v>2486</v>
      </c>
      <c r="E118" s="640" t="s">
        <v>2201</v>
      </c>
      <c r="F118" s="435" t="s">
        <v>117</v>
      </c>
      <c r="G118" s="435" t="s">
        <v>1198</v>
      </c>
      <c r="H118" s="436" t="s">
        <v>2713</v>
      </c>
      <c r="I118" s="641">
        <v>152000</v>
      </c>
      <c r="J118" s="641">
        <v>7600</v>
      </c>
      <c r="K118" s="641">
        <v>7600</v>
      </c>
      <c r="L118" s="641">
        <v>0</v>
      </c>
      <c r="M118" s="641">
        <v>0</v>
      </c>
      <c r="N118" s="644"/>
      <c r="O118" s="641">
        <f>+I118-(SUM(J118:N118))</f>
        <v>136800</v>
      </c>
    </row>
    <row r="119" spans="1:15" s="441" customFormat="1" ht="93.75" x14ac:dyDescent="0.2">
      <c r="A119" s="439">
        <v>5</v>
      </c>
      <c r="B119" s="438" t="s">
        <v>2487</v>
      </c>
      <c r="C119" s="440" t="s">
        <v>2488</v>
      </c>
      <c r="D119" s="639" t="s">
        <v>2489</v>
      </c>
      <c r="E119" s="640" t="s">
        <v>115</v>
      </c>
      <c r="F119" s="435" t="s">
        <v>117</v>
      </c>
      <c r="G119" s="435" t="s">
        <v>278</v>
      </c>
      <c r="H119" s="436" t="s">
        <v>1766</v>
      </c>
      <c r="I119" s="641">
        <v>258000</v>
      </c>
      <c r="J119" s="641">
        <v>12900</v>
      </c>
      <c r="K119" s="641">
        <v>12900</v>
      </c>
      <c r="L119" s="641">
        <v>0</v>
      </c>
      <c r="M119" s="641">
        <v>0</v>
      </c>
      <c r="N119" s="644"/>
      <c r="O119" s="641">
        <f>+I119-(SUM(J119:N119))</f>
        <v>232200</v>
      </c>
    </row>
    <row r="120" spans="1:15" s="441" customFormat="1" ht="93.75" x14ac:dyDescent="0.2">
      <c r="A120" s="439">
        <v>6</v>
      </c>
      <c r="B120" s="438" t="s">
        <v>2521</v>
      </c>
      <c r="C120" s="440" t="s">
        <v>2522</v>
      </c>
      <c r="D120" s="639" t="s">
        <v>2523</v>
      </c>
      <c r="E120" s="640" t="s">
        <v>115</v>
      </c>
      <c r="F120" s="435" t="s">
        <v>117</v>
      </c>
      <c r="G120" s="435" t="s">
        <v>345</v>
      </c>
      <c r="H120" s="436" t="s">
        <v>1766</v>
      </c>
      <c r="I120" s="641">
        <v>142000</v>
      </c>
      <c r="J120" s="641">
        <v>7100</v>
      </c>
      <c r="K120" s="641">
        <v>7100</v>
      </c>
      <c r="L120" s="641">
        <v>0</v>
      </c>
      <c r="M120" s="641">
        <v>0</v>
      </c>
      <c r="N120" s="644"/>
      <c r="O120" s="641">
        <f>+I120-(SUM(J120:N120))</f>
        <v>127800</v>
      </c>
    </row>
    <row r="121" spans="1:15" s="441" customFormat="1" ht="112.5" x14ac:dyDescent="0.2">
      <c r="A121" s="439">
        <v>7</v>
      </c>
      <c r="B121" s="438" t="s">
        <v>2524</v>
      </c>
      <c r="C121" s="440" t="s">
        <v>2525</v>
      </c>
      <c r="D121" s="639" t="s">
        <v>2526</v>
      </c>
      <c r="E121" s="640" t="s">
        <v>302</v>
      </c>
      <c r="F121" s="435" t="s">
        <v>117</v>
      </c>
      <c r="G121" s="435" t="s">
        <v>444</v>
      </c>
      <c r="H121" s="436" t="s">
        <v>2527</v>
      </c>
      <c r="I121" s="641">
        <v>90000</v>
      </c>
      <c r="J121" s="641">
        <v>4500</v>
      </c>
      <c r="K121" s="641">
        <v>4500</v>
      </c>
      <c r="L121" s="641">
        <v>0</v>
      </c>
      <c r="M121" s="641">
        <v>0</v>
      </c>
      <c r="N121" s="644"/>
      <c r="O121" s="641">
        <f>+I121-(SUM(J121:N121))</f>
        <v>81000</v>
      </c>
    </row>
    <row r="122" spans="1:15" s="441" customFormat="1" ht="93.75" x14ac:dyDescent="0.2">
      <c r="A122" s="439">
        <v>8</v>
      </c>
      <c r="B122" s="438" t="s">
        <v>2551</v>
      </c>
      <c r="C122" s="440" t="s">
        <v>2552</v>
      </c>
      <c r="D122" s="639" t="s">
        <v>2553</v>
      </c>
      <c r="E122" s="640" t="s">
        <v>115</v>
      </c>
      <c r="F122" s="435" t="s">
        <v>117</v>
      </c>
      <c r="G122" s="435" t="s">
        <v>303</v>
      </c>
      <c r="H122" s="436" t="s">
        <v>1766</v>
      </c>
      <c r="I122" s="641">
        <v>39000</v>
      </c>
      <c r="J122" s="641">
        <v>1950</v>
      </c>
      <c r="K122" s="641">
        <v>1950</v>
      </c>
      <c r="L122" s="641">
        <v>0</v>
      </c>
      <c r="M122" s="641">
        <v>0</v>
      </c>
      <c r="N122" s="644"/>
      <c r="O122" s="641">
        <f>+I122-(SUM(J122:N122))</f>
        <v>35100</v>
      </c>
    </row>
    <row r="123" spans="1:15" s="441" customFormat="1" ht="93.75" x14ac:dyDescent="0.2">
      <c r="A123" s="439">
        <v>9</v>
      </c>
      <c r="B123" s="438" t="s">
        <v>2632</v>
      </c>
      <c r="C123" s="440" t="s">
        <v>2633</v>
      </c>
      <c r="D123" s="639" t="s">
        <v>2634</v>
      </c>
      <c r="E123" s="640" t="s">
        <v>115</v>
      </c>
      <c r="F123" s="435" t="s">
        <v>117</v>
      </c>
      <c r="G123" s="435" t="s">
        <v>318</v>
      </c>
      <c r="H123" s="436" t="s">
        <v>1766</v>
      </c>
      <c r="I123" s="641">
        <v>19000</v>
      </c>
      <c r="J123" s="641">
        <v>950</v>
      </c>
      <c r="K123" s="641">
        <v>950</v>
      </c>
      <c r="L123" s="641">
        <v>0</v>
      </c>
      <c r="M123" s="641">
        <v>0</v>
      </c>
      <c r="N123" s="642"/>
      <c r="O123" s="641">
        <f>+I123-(SUM(J123:N123))</f>
        <v>17100</v>
      </c>
    </row>
    <row r="124" spans="1:15" s="441" customFormat="1" ht="93.75" x14ac:dyDescent="0.2">
      <c r="A124" s="439">
        <v>10</v>
      </c>
      <c r="B124" s="438" t="s">
        <v>2635</v>
      </c>
      <c r="C124" s="440" t="s">
        <v>2636</v>
      </c>
      <c r="D124" s="639" t="s">
        <v>2637</v>
      </c>
      <c r="E124" s="640" t="s">
        <v>115</v>
      </c>
      <c r="F124" s="435" t="s">
        <v>117</v>
      </c>
      <c r="G124" s="435" t="s">
        <v>318</v>
      </c>
      <c r="H124" s="436" t="s">
        <v>1766</v>
      </c>
      <c r="I124" s="641">
        <v>20000</v>
      </c>
      <c r="J124" s="641">
        <v>1000</v>
      </c>
      <c r="K124" s="641">
        <v>1000</v>
      </c>
      <c r="L124" s="641">
        <v>0</v>
      </c>
      <c r="M124" s="641">
        <v>0</v>
      </c>
      <c r="N124" s="642"/>
      <c r="O124" s="641">
        <f>+I124-(SUM(J124:N124))</f>
        <v>18000</v>
      </c>
    </row>
    <row r="125" spans="1:15" s="441" customFormat="1" ht="93.75" x14ac:dyDescent="0.2">
      <c r="A125" s="439">
        <v>11</v>
      </c>
      <c r="B125" s="438">
        <v>243747</v>
      </c>
      <c r="C125" s="440" t="s">
        <v>2655</v>
      </c>
      <c r="D125" s="639" t="s">
        <v>2656</v>
      </c>
      <c r="E125" s="640" t="s">
        <v>2201</v>
      </c>
      <c r="F125" s="435" t="s">
        <v>117</v>
      </c>
      <c r="G125" s="435" t="s">
        <v>1198</v>
      </c>
      <c r="H125" s="436" t="s">
        <v>2714</v>
      </c>
      <c r="I125" s="641">
        <v>114000</v>
      </c>
      <c r="J125" s="641">
        <v>5700</v>
      </c>
      <c r="K125" s="641">
        <v>5700</v>
      </c>
      <c r="L125" s="641">
        <v>0</v>
      </c>
      <c r="M125" s="641">
        <v>0</v>
      </c>
      <c r="N125" s="642"/>
      <c r="O125" s="641">
        <f>+I125-(SUM(J125:N125))</f>
        <v>102600</v>
      </c>
    </row>
    <row r="126" spans="1:15" s="441" customFormat="1" ht="93.75" x14ac:dyDescent="0.2">
      <c r="A126" s="439">
        <v>12</v>
      </c>
      <c r="B126" s="438">
        <v>243769</v>
      </c>
      <c r="C126" s="440" t="s">
        <v>2657</v>
      </c>
      <c r="D126" s="639" t="s">
        <v>2658</v>
      </c>
      <c r="E126" s="640" t="s">
        <v>115</v>
      </c>
      <c r="F126" s="435" t="s">
        <v>117</v>
      </c>
      <c r="G126" s="435" t="s">
        <v>318</v>
      </c>
      <c r="H126" s="436" t="s">
        <v>1766</v>
      </c>
      <c r="I126" s="641">
        <v>19000</v>
      </c>
      <c r="J126" s="641">
        <v>950</v>
      </c>
      <c r="K126" s="641">
        <v>950</v>
      </c>
      <c r="L126" s="641">
        <v>0</v>
      </c>
      <c r="M126" s="641">
        <v>0</v>
      </c>
      <c r="N126" s="642"/>
      <c r="O126" s="641">
        <f>+I126-(SUM(J126:N126))</f>
        <v>17100</v>
      </c>
    </row>
    <row r="127" spans="1:15" s="441" customFormat="1" ht="112.5" x14ac:dyDescent="0.2">
      <c r="A127" s="439">
        <v>13</v>
      </c>
      <c r="B127" s="438">
        <v>243788</v>
      </c>
      <c r="C127" s="440" t="s">
        <v>2678</v>
      </c>
      <c r="D127" s="639" t="s">
        <v>2679</v>
      </c>
      <c r="E127" s="640" t="s">
        <v>2680</v>
      </c>
      <c r="F127" s="435" t="s">
        <v>117</v>
      </c>
      <c r="G127" s="435" t="s">
        <v>1144</v>
      </c>
      <c r="H127" s="436" t="s">
        <v>2711</v>
      </c>
      <c r="I127" s="641">
        <v>190000</v>
      </c>
      <c r="J127" s="641">
        <v>0</v>
      </c>
      <c r="K127" s="641">
        <v>0</v>
      </c>
      <c r="L127" s="641">
        <v>9500</v>
      </c>
      <c r="M127" s="641">
        <v>9500</v>
      </c>
      <c r="N127" s="642"/>
      <c r="O127" s="641">
        <f>+I127-(SUM(J127:N127))</f>
        <v>171000</v>
      </c>
    </row>
    <row r="128" spans="1:15" s="441" customFormat="1" ht="93.75" x14ac:dyDescent="0.2">
      <c r="A128" s="439">
        <v>14</v>
      </c>
      <c r="B128" s="438" t="s">
        <v>2685</v>
      </c>
      <c r="C128" s="440" t="s">
        <v>2686</v>
      </c>
      <c r="D128" s="639" t="s">
        <v>2687</v>
      </c>
      <c r="E128" s="640" t="s">
        <v>2201</v>
      </c>
      <c r="F128" s="435" t="s">
        <v>117</v>
      </c>
      <c r="G128" s="435" t="s">
        <v>1198</v>
      </c>
      <c r="H128" s="436" t="s">
        <v>2715</v>
      </c>
      <c r="I128" s="641">
        <v>20000</v>
      </c>
      <c r="J128" s="641">
        <v>1000</v>
      </c>
      <c r="K128" s="641">
        <v>1000</v>
      </c>
      <c r="L128" s="641">
        <v>0</v>
      </c>
      <c r="M128" s="641">
        <v>0</v>
      </c>
      <c r="N128" s="642"/>
      <c r="O128" s="641">
        <f>+I128-(SUM(J128:N128))</f>
        <v>18000</v>
      </c>
    </row>
    <row r="129" spans="1:15" s="441" customFormat="1" ht="93.75" x14ac:dyDescent="0.2">
      <c r="A129" s="439">
        <v>15</v>
      </c>
      <c r="B129" s="438" t="s">
        <v>2886</v>
      </c>
      <c r="C129" s="440" t="s">
        <v>2887</v>
      </c>
      <c r="D129" s="639" t="s">
        <v>2888</v>
      </c>
      <c r="E129" s="640" t="s">
        <v>115</v>
      </c>
      <c r="F129" s="435" t="s">
        <v>117</v>
      </c>
      <c r="G129" s="435" t="s">
        <v>318</v>
      </c>
      <c r="H129" s="436" t="s">
        <v>1766</v>
      </c>
      <c r="I129" s="641">
        <v>20000</v>
      </c>
      <c r="J129" s="641">
        <v>1000</v>
      </c>
      <c r="K129" s="641">
        <v>1000</v>
      </c>
      <c r="L129" s="641">
        <v>0</v>
      </c>
      <c r="M129" s="641">
        <v>0</v>
      </c>
      <c r="N129" s="642"/>
      <c r="O129" s="641">
        <f>+I129-(SUM(J129:N129))</f>
        <v>18000</v>
      </c>
    </row>
    <row r="130" spans="1:15" s="441" customFormat="1" ht="93.75" x14ac:dyDescent="0.2">
      <c r="A130" s="439">
        <v>16</v>
      </c>
      <c r="B130" s="438" t="s">
        <v>2828</v>
      </c>
      <c r="C130" s="440" t="s">
        <v>2889</v>
      </c>
      <c r="D130" s="639" t="s">
        <v>2890</v>
      </c>
      <c r="E130" s="640" t="s">
        <v>115</v>
      </c>
      <c r="F130" s="435" t="s">
        <v>117</v>
      </c>
      <c r="G130" s="435" t="s">
        <v>318</v>
      </c>
      <c r="H130" s="436" t="s">
        <v>1766</v>
      </c>
      <c r="I130" s="641">
        <v>25000</v>
      </c>
      <c r="J130" s="641">
        <v>1250</v>
      </c>
      <c r="K130" s="641">
        <v>1250</v>
      </c>
      <c r="L130" s="641">
        <v>0</v>
      </c>
      <c r="M130" s="641">
        <v>0</v>
      </c>
      <c r="N130" s="642"/>
      <c r="O130" s="641">
        <f>+I130-(SUM(J130:N130))</f>
        <v>22500</v>
      </c>
    </row>
    <row r="131" spans="1:15" s="441" customFormat="1" ht="93.75" x14ac:dyDescent="0.2">
      <c r="A131" s="439">
        <v>17</v>
      </c>
      <c r="B131" s="438" t="s">
        <v>2828</v>
      </c>
      <c r="C131" s="440" t="s">
        <v>2456</v>
      </c>
      <c r="D131" s="639" t="s">
        <v>2891</v>
      </c>
      <c r="E131" s="640" t="s">
        <v>115</v>
      </c>
      <c r="F131" s="435" t="s">
        <v>117</v>
      </c>
      <c r="G131" s="435" t="s">
        <v>299</v>
      </c>
      <c r="H131" s="436" t="s">
        <v>1766</v>
      </c>
      <c r="I131" s="641">
        <v>530000</v>
      </c>
      <c r="J131" s="641">
        <v>26500</v>
      </c>
      <c r="K131" s="641">
        <v>26500</v>
      </c>
      <c r="L131" s="641">
        <v>0</v>
      </c>
      <c r="M131" s="641">
        <v>0</v>
      </c>
      <c r="N131" s="642"/>
      <c r="O131" s="641">
        <f>+I131-(SUM(J131:N131))</f>
        <v>477000</v>
      </c>
    </row>
    <row r="132" spans="1:15" s="441" customFormat="1" ht="93.75" x14ac:dyDescent="0.2">
      <c r="A132" s="439">
        <v>18</v>
      </c>
      <c r="B132" s="438" t="s">
        <v>2828</v>
      </c>
      <c r="C132" s="440" t="s">
        <v>2456</v>
      </c>
      <c r="D132" s="639" t="s">
        <v>2891</v>
      </c>
      <c r="E132" s="640" t="s">
        <v>115</v>
      </c>
      <c r="F132" s="435" t="s">
        <v>117</v>
      </c>
      <c r="G132" s="435" t="s">
        <v>289</v>
      </c>
      <c r="H132" s="436" t="s">
        <v>1766</v>
      </c>
      <c r="I132" s="641">
        <v>90000</v>
      </c>
      <c r="J132" s="641">
        <v>4500</v>
      </c>
      <c r="K132" s="641">
        <v>4500</v>
      </c>
      <c r="L132" s="641">
        <v>0</v>
      </c>
      <c r="M132" s="641">
        <v>0</v>
      </c>
      <c r="N132" s="642"/>
      <c r="O132" s="641">
        <f>+I132-(SUM(J132:N132))</f>
        <v>81000</v>
      </c>
    </row>
    <row r="133" spans="1:15" s="441" customFormat="1" ht="93.75" x14ac:dyDescent="0.2">
      <c r="A133" s="439">
        <v>19</v>
      </c>
      <c r="B133" s="438" t="s">
        <v>2828</v>
      </c>
      <c r="C133" s="645" t="s">
        <v>1109</v>
      </c>
      <c r="D133" s="639" t="s">
        <v>2892</v>
      </c>
      <c r="E133" s="640" t="s">
        <v>115</v>
      </c>
      <c r="F133" s="435" t="s">
        <v>117</v>
      </c>
      <c r="G133" s="435" t="s">
        <v>2893</v>
      </c>
      <c r="H133" s="436" t="s">
        <v>1766</v>
      </c>
      <c r="I133" s="641">
        <v>1930000</v>
      </c>
      <c r="J133" s="641">
        <v>96500</v>
      </c>
      <c r="K133" s="641">
        <v>96500</v>
      </c>
      <c r="L133" s="641">
        <v>0</v>
      </c>
      <c r="M133" s="641">
        <v>0</v>
      </c>
      <c r="N133" s="642"/>
      <c r="O133" s="641">
        <f>+I133-(SUM(J133:N133))</f>
        <v>1737000</v>
      </c>
    </row>
    <row r="134" spans="1:15" s="441" customFormat="1" ht="93.75" x14ac:dyDescent="0.2">
      <c r="A134" s="439">
        <v>20</v>
      </c>
      <c r="B134" s="438" t="s">
        <v>2828</v>
      </c>
      <c r="C134" s="645" t="s">
        <v>1109</v>
      </c>
      <c r="D134" s="639" t="s">
        <v>2892</v>
      </c>
      <c r="E134" s="640" t="s">
        <v>302</v>
      </c>
      <c r="F134" s="435" t="s">
        <v>117</v>
      </c>
      <c r="G134" s="435" t="s">
        <v>2894</v>
      </c>
      <c r="H134" s="436" t="s">
        <v>2895</v>
      </c>
      <c r="I134" s="641">
        <v>25000</v>
      </c>
      <c r="J134" s="641">
        <v>1250</v>
      </c>
      <c r="K134" s="641">
        <v>1250</v>
      </c>
      <c r="L134" s="641">
        <v>0</v>
      </c>
      <c r="M134" s="641">
        <v>0</v>
      </c>
      <c r="N134" s="642"/>
      <c r="O134" s="641">
        <f>+I134-(SUM(J134:N134))</f>
        <v>22500</v>
      </c>
    </row>
    <row r="135" spans="1:15" s="441" customFormat="1" x14ac:dyDescent="0.2">
      <c r="A135" s="388" t="s">
        <v>2818</v>
      </c>
      <c r="B135" s="389"/>
      <c r="C135" s="646"/>
      <c r="D135" s="637"/>
      <c r="E135" s="388"/>
      <c r="F135" s="391"/>
      <c r="G135" s="391"/>
      <c r="H135" s="392"/>
      <c r="I135" s="393">
        <f>SUM(I136)</f>
        <v>1269250</v>
      </c>
      <c r="J135" s="393">
        <f t="shared" ref="J135:O135" si="9">SUM(J136)</f>
        <v>0</v>
      </c>
      <c r="K135" s="393">
        <f t="shared" si="9"/>
        <v>0</v>
      </c>
      <c r="L135" s="393">
        <f t="shared" si="9"/>
        <v>0</v>
      </c>
      <c r="M135" s="393">
        <f t="shared" si="9"/>
        <v>0</v>
      </c>
      <c r="N135" s="393"/>
      <c r="O135" s="393">
        <f t="shared" si="9"/>
        <v>1269250</v>
      </c>
    </row>
    <row r="136" spans="1:15" s="441" customFormat="1" ht="168.75" x14ac:dyDescent="0.2">
      <c r="A136" s="439">
        <v>1</v>
      </c>
      <c r="B136" s="438" t="s">
        <v>2819</v>
      </c>
      <c r="C136" s="440" t="s">
        <v>2820</v>
      </c>
      <c r="D136" s="639" t="s">
        <v>2821</v>
      </c>
      <c r="E136" s="640" t="s">
        <v>2896</v>
      </c>
      <c r="F136" s="435" t="s">
        <v>2818</v>
      </c>
      <c r="G136" s="435" t="s">
        <v>1763</v>
      </c>
      <c r="H136" s="436" t="s">
        <v>2897</v>
      </c>
      <c r="I136" s="641">
        <v>1269250</v>
      </c>
      <c r="J136" s="641">
        <v>0</v>
      </c>
      <c r="K136" s="641">
        <v>0</v>
      </c>
      <c r="L136" s="641">
        <v>0</v>
      </c>
      <c r="M136" s="641">
        <v>0</v>
      </c>
      <c r="N136" s="642" t="s">
        <v>1786</v>
      </c>
      <c r="O136" s="641">
        <f>+I136-(SUM(J136:N136))</f>
        <v>1269250</v>
      </c>
    </row>
    <row r="137" spans="1:15" s="441" customFormat="1" x14ac:dyDescent="0.2">
      <c r="A137" s="388" t="s">
        <v>706</v>
      </c>
      <c r="B137" s="389"/>
      <c r="C137" s="390"/>
      <c r="D137" s="637"/>
      <c r="E137" s="388"/>
      <c r="F137" s="391"/>
      <c r="G137" s="391"/>
      <c r="H137" s="392"/>
      <c r="I137" s="393">
        <f>SUM(I138:I143)</f>
        <v>1747532</v>
      </c>
      <c r="J137" s="393">
        <f t="shared" ref="J137:O137" si="10">SUM(J138:J143)</f>
        <v>0</v>
      </c>
      <c r="K137" s="393">
        <f t="shared" si="10"/>
        <v>0</v>
      </c>
      <c r="L137" s="393">
        <f t="shared" si="10"/>
        <v>6750</v>
      </c>
      <c r="M137" s="393">
        <f t="shared" si="10"/>
        <v>6750</v>
      </c>
      <c r="N137" s="393"/>
      <c r="O137" s="393">
        <f t="shared" si="10"/>
        <v>1734032</v>
      </c>
    </row>
    <row r="138" spans="1:15" s="441" customFormat="1" ht="243.75" x14ac:dyDescent="0.2">
      <c r="A138" s="439">
        <v>1</v>
      </c>
      <c r="B138" s="438" t="s">
        <v>2438</v>
      </c>
      <c r="C138" s="440" t="s">
        <v>2459</v>
      </c>
      <c r="D138" s="639" t="s">
        <v>2460</v>
      </c>
      <c r="E138" s="640" t="s">
        <v>1704</v>
      </c>
      <c r="F138" s="435" t="s">
        <v>706</v>
      </c>
      <c r="G138" s="435" t="s">
        <v>2461</v>
      </c>
      <c r="H138" s="436" t="s">
        <v>2799</v>
      </c>
      <c r="I138" s="641">
        <v>75000</v>
      </c>
      <c r="J138" s="641">
        <v>0</v>
      </c>
      <c r="K138" s="641">
        <v>0</v>
      </c>
      <c r="L138" s="641">
        <v>0</v>
      </c>
      <c r="M138" s="641">
        <v>0</v>
      </c>
      <c r="N138" s="642" t="s">
        <v>2182</v>
      </c>
      <c r="O138" s="641">
        <f>+I138-(SUM(J138:N138))</f>
        <v>75000</v>
      </c>
    </row>
    <row r="139" spans="1:15" s="441" customFormat="1" ht="112.5" x14ac:dyDescent="0.2">
      <c r="A139" s="439">
        <v>2</v>
      </c>
      <c r="B139" s="438" t="s">
        <v>2435</v>
      </c>
      <c r="C139" s="440" t="s">
        <v>2448</v>
      </c>
      <c r="D139" s="639" t="s">
        <v>2449</v>
      </c>
      <c r="E139" s="640" t="s">
        <v>1733</v>
      </c>
      <c r="F139" s="435" t="s">
        <v>706</v>
      </c>
      <c r="G139" s="435" t="s">
        <v>2154</v>
      </c>
      <c r="H139" s="436" t="s">
        <v>2800</v>
      </c>
      <c r="I139" s="641">
        <v>178500</v>
      </c>
      <c r="J139" s="641">
        <v>0</v>
      </c>
      <c r="K139" s="641">
        <v>0</v>
      </c>
      <c r="L139" s="641">
        <v>0</v>
      </c>
      <c r="M139" s="641">
        <v>0</v>
      </c>
      <c r="N139" s="642" t="s">
        <v>1786</v>
      </c>
      <c r="O139" s="641">
        <f>+I139-(SUM(J139:N139))</f>
        <v>178500</v>
      </c>
    </row>
    <row r="140" spans="1:15" s="441" customFormat="1" ht="187.5" x14ac:dyDescent="0.2">
      <c r="A140" s="439">
        <v>3</v>
      </c>
      <c r="B140" s="438" t="s">
        <v>2435</v>
      </c>
      <c r="C140" s="440" t="s">
        <v>2448</v>
      </c>
      <c r="D140" s="639" t="s">
        <v>2449</v>
      </c>
      <c r="E140" s="640" t="s">
        <v>1733</v>
      </c>
      <c r="F140" s="435" t="s">
        <v>706</v>
      </c>
      <c r="G140" s="435" t="s">
        <v>2154</v>
      </c>
      <c r="H140" s="436" t="s">
        <v>2801</v>
      </c>
      <c r="I140" s="641">
        <v>484732</v>
      </c>
      <c r="J140" s="641">
        <v>0</v>
      </c>
      <c r="K140" s="641">
        <v>0</v>
      </c>
      <c r="L140" s="641">
        <v>0</v>
      </c>
      <c r="M140" s="641">
        <v>0</v>
      </c>
      <c r="N140" s="642" t="s">
        <v>1786</v>
      </c>
      <c r="O140" s="641">
        <f>+I140-(SUM(J140:N140))</f>
        <v>484732</v>
      </c>
    </row>
    <row r="141" spans="1:15" s="441" customFormat="1" ht="150" x14ac:dyDescent="0.2">
      <c r="A141" s="439">
        <v>4</v>
      </c>
      <c r="B141" s="438" t="s">
        <v>2455</v>
      </c>
      <c r="C141" s="440" t="s">
        <v>2462</v>
      </c>
      <c r="D141" s="639" t="s">
        <v>2463</v>
      </c>
      <c r="E141" s="640" t="s">
        <v>1704</v>
      </c>
      <c r="F141" s="435" t="s">
        <v>706</v>
      </c>
      <c r="G141" s="435" t="s">
        <v>2461</v>
      </c>
      <c r="H141" s="436" t="s">
        <v>2464</v>
      </c>
      <c r="I141" s="641">
        <v>13500</v>
      </c>
      <c r="J141" s="641">
        <v>0</v>
      </c>
      <c r="K141" s="641">
        <v>0</v>
      </c>
      <c r="L141" s="641">
        <v>6750</v>
      </c>
      <c r="M141" s="641">
        <v>6750</v>
      </c>
      <c r="N141" s="642"/>
      <c r="O141" s="641">
        <f>+I141-(SUM(J141:N141))</f>
        <v>0</v>
      </c>
    </row>
    <row r="142" spans="1:15" s="441" customFormat="1" ht="243.75" x14ac:dyDescent="0.2">
      <c r="A142" s="439">
        <v>5</v>
      </c>
      <c r="B142" s="438" t="s">
        <v>2571</v>
      </c>
      <c r="C142" s="440" t="s">
        <v>2572</v>
      </c>
      <c r="D142" s="639" t="s">
        <v>2573</v>
      </c>
      <c r="E142" s="640" t="s">
        <v>1704</v>
      </c>
      <c r="F142" s="435" t="s">
        <v>706</v>
      </c>
      <c r="G142" s="435" t="s">
        <v>2461</v>
      </c>
      <c r="H142" s="436" t="s">
        <v>2802</v>
      </c>
      <c r="I142" s="641">
        <v>60000</v>
      </c>
      <c r="J142" s="641">
        <v>0</v>
      </c>
      <c r="K142" s="641">
        <v>0</v>
      </c>
      <c r="L142" s="641">
        <v>0</v>
      </c>
      <c r="M142" s="641">
        <v>0</v>
      </c>
      <c r="N142" s="642" t="s">
        <v>2182</v>
      </c>
      <c r="O142" s="641">
        <f>+I142-(SUM(J142:N142))</f>
        <v>60000</v>
      </c>
    </row>
    <row r="143" spans="1:15" s="441" customFormat="1" ht="131.25" x14ac:dyDescent="0.2">
      <c r="A143" s="439">
        <v>6</v>
      </c>
      <c r="B143" s="438" t="s">
        <v>2819</v>
      </c>
      <c r="C143" s="440" t="s">
        <v>2820</v>
      </c>
      <c r="D143" s="639" t="s">
        <v>2821</v>
      </c>
      <c r="E143" s="640" t="s">
        <v>1733</v>
      </c>
      <c r="F143" s="435" t="s">
        <v>706</v>
      </c>
      <c r="G143" s="435" t="s">
        <v>1763</v>
      </c>
      <c r="H143" s="436" t="s">
        <v>2898</v>
      </c>
      <c r="I143" s="641">
        <v>935800</v>
      </c>
      <c r="J143" s="641">
        <v>0</v>
      </c>
      <c r="K143" s="641">
        <v>0</v>
      </c>
      <c r="L143" s="641">
        <v>0</v>
      </c>
      <c r="M143" s="641">
        <v>0</v>
      </c>
      <c r="N143" s="642" t="s">
        <v>1786</v>
      </c>
      <c r="O143" s="641">
        <f>+I143-(SUM(J143:N143))</f>
        <v>935800</v>
      </c>
    </row>
    <row r="144" spans="1:15" s="441" customFormat="1" x14ac:dyDescent="0.2">
      <c r="A144" s="442" t="s">
        <v>923</v>
      </c>
      <c r="B144" s="389"/>
      <c r="C144" s="390"/>
      <c r="D144" s="637"/>
      <c r="E144" s="388"/>
      <c r="F144" s="391"/>
      <c r="G144" s="391"/>
      <c r="H144" s="392"/>
      <c r="I144" s="393">
        <f>SUM(I145)</f>
        <v>309000</v>
      </c>
      <c r="J144" s="393">
        <f t="shared" ref="J144:O144" si="11">SUM(J145)</f>
        <v>0</v>
      </c>
      <c r="K144" s="393">
        <f t="shared" si="11"/>
        <v>0</v>
      </c>
      <c r="L144" s="393">
        <f t="shared" si="11"/>
        <v>0</v>
      </c>
      <c r="M144" s="393">
        <f t="shared" si="11"/>
        <v>0</v>
      </c>
      <c r="N144" s="393"/>
      <c r="O144" s="393">
        <f t="shared" si="11"/>
        <v>309000</v>
      </c>
    </row>
    <row r="145" spans="1:15" s="441" customFormat="1" ht="131.25" x14ac:dyDescent="0.2">
      <c r="A145" s="439">
        <v>1</v>
      </c>
      <c r="B145" s="438" t="s">
        <v>2528</v>
      </c>
      <c r="C145" s="443" t="s">
        <v>2529</v>
      </c>
      <c r="D145" s="639" t="s">
        <v>2530</v>
      </c>
      <c r="E145" s="647" t="s">
        <v>2210</v>
      </c>
      <c r="F145" s="444" t="s">
        <v>923</v>
      </c>
      <c r="G145" s="444" t="s">
        <v>2211</v>
      </c>
      <c r="H145" s="445" t="s">
        <v>2803</v>
      </c>
      <c r="I145" s="641">
        <v>309000</v>
      </c>
      <c r="J145" s="641">
        <v>0</v>
      </c>
      <c r="K145" s="641">
        <v>0</v>
      </c>
      <c r="L145" s="648">
        <v>0</v>
      </c>
      <c r="M145" s="648">
        <v>0</v>
      </c>
      <c r="N145" s="642" t="s">
        <v>1786</v>
      </c>
      <c r="O145" s="641">
        <f>+I145-(SUM(J145:N145))</f>
        <v>309000</v>
      </c>
    </row>
    <row r="146" spans="1:15" s="441" customFormat="1" x14ac:dyDescent="0.2">
      <c r="A146" s="388" t="s">
        <v>2554</v>
      </c>
      <c r="B146" s="389"/>
      <c r="C146" s="390"/>
      <c r="D146" s="637"/>
      <c r="E146" s="388"/>
      <c r="F146" s="391"/>
      <c r="G146" s="391"/>
      <c r="H146" s="392"/>
      <c r="I146" s="393">
        <f>SUM(I147:I153)</f>
        <v>8243330</v>
      </c>
      <c r="J146" s="393">
        <f t="shared" ref="J146:O146" si="12">SUM(J147:J153)</f>
        <v>0</v>
      </c>
      <c r="K146" s="393">
        <f t="shared" si="12"/>
        <v>0</v>
      </c>
      <c r="L146" s="393">
        <f t="shared" si="12"/>
        <v>425000</v>
      </c>
      <c r="M146" s="393">
        <f t="shared" si="12"/>
        <v>127500</v>
      </c>
      <c r="N146" s="393"/>
      <c r="O146" s="393">
        <f t="shared" si="12"/>
        <v>7690830</v>
      </c>
    </row>
    <row r="147" spans="1:15" s="441" customFormat="1" ht="93.75" x14ac:dyDescent="0.2">
      <c r="A147" s="439">
        <v>1</v>
      </c>
      <c r="B147" s="438" t="s">
        <v>2528</v>
      </c>
      <c r="C147" s="440" t="s">
        <v>2529</v>
      </c>
      <c r="D147" s="639" t="s">
        <v>2530</v>
      </c>
      <c r="E147" s="640" t="s">
        <v>1251</v>
      </c>
      <c r="F147" s="435" t="s">
        <v>2659</v>
      </c>
      <c r="G147" s="435" t="s">
        <v>2154</v>
      </c>
      <c r="H147" s="436" t="s">
        <v>2807</v>
      </c>
      <c r="I147" s="641">
        <v>1290960</v>
      </c>
      <c r="J147" s="641">
        <v>0</v>
      </c>
      <c r="K147" s="641">
        <v>0</v>
      </c>
      <c r="L147" s="641">
        <v>0</v>
      </c>
      <c r="M147" s="641">
        <v>0</v>
      </c>
      <c r="N147" s="642" t="s">
        <v>2325</v>
      </c>
      <c r="O147" s="641">
        <f>+I147-(SUM(J147:N147))</f>
        <v>1290960</v>
      </c>
    </row>
    <row r="148" spans="1:15" s="441" customFormat="1" ht="112.5" x14ac:dyDescent="0.2">
      <c r="A148" s="439">
        <v>2</v>
      </c>
      <c r="B148" s="438" t="s">
        <v>2591</v>
      </c>
      <c r="C148" s="440" t="s">
        <v>2592</v>
      </c>
      <c r="D148" s="639" t="s">
        <v>2604</v>
      </c>
      <c r="E148" s="640" t="s">
        <v>1251</v>
      </c>
      <c r="F148" s="435" t="s">
        <v>2659</v>
      </c>
      <c r="G148" s="435" t="s">
        <v>1763</v>
      </c>
      <c r="H148" s="436" t="s">
        <v>2808</v>
      </c>
      <c r="I148" s="641">
        <v>1012800</v>
      </c>
      <c r="J148" s="641">
        <v>0</v>
      </c>
      <c r="K148" s="641">
        <v>0</v>
      </c>
      <c r="L148" s="641">
        <v>0</v>
      </c>
      <c r="M148" s="641">
        <v>0</v>
      </c>
      <c r="N148" s="642" t="s">
        <v>2605</v>
      </c>
      <c r="O148" s="641">
        <f>+I148-(SUM(J148:N148))</f>
        <v>1012800</v>
      </c>
    </row>
    <row r="149" spans="1:15" s="441" customFormat="1" ht="206.25" x14ac:dyDescent="0.2">
      <c r="A149" s="439">
        <v>3</v>
      </c>
      <c r="B149" s="438">
        <v>243773</v>
      </c>
      <c r="C149" s="440" t="s">
        <v>2681</v>
      </c>
      <c r="D149" s="639" t="s">
        <v>2682</v>
      </c>
      <c r="E149" s="640" t="s">
        <v>1251</v>
      </c>
      <c r="F149" s="435" t="s">
        <v>2554</v>
      </c>
      <c r="G149" s="435" t="s">
        <v>1763</v>
      </c>
      <c r="H149" s="436" t="s">
        <v>2899</v>
      </c>
      <c r="I149" s="641">
        <v>171000</v>
      </c>
      <c r="J149" s="641">
        <v>0</v>
      </c>
      <c r="K149" s="641">
        <v>0</v>
      </c>
      <c r="L149" s="641">
        <v>0</v>
      </c>
      <c r="M149" s="641">
        <v>0</v>
      </c>
      <c r="N149" s="642" t="s">
        <v>1786</v>
      </c>
      <c r="O149" s="641">
        <f>+I149-(SUM(J149:N149))</f>
        <v>171000</v>
      </c>
    </row>
    <row r="150" spans="1:15" s="441" customFormat="1" ht="93.75" x14ac:dyDescent="0.2">
      <c r="A150" s="439">
        <v>4</v>
      </c>
      <c r="B150" s="438">
        <v>243773</v>
      </c>
      <c r="C150" s="440" t="s">
        <v>2683</v>
      </c>
      <c r="D150" s="639" t="s">
        <v>2684</v>
      </c>
      <c r="E150" s="640" t="s">
        <v>1251</v>
      </c>
      <c r="F150" s="435" t="s">
        <v>2554</v>
      </c>
      <c r="G150" s="435" t="s">
        <v>1763</v>
      </c>
      <c r="H150" s="436" t="s">
        <v>2809</v>
      </c>
      <c r="I150" s="641">
        <v>610500</v>
      </c>
      <c r="J150" s="641">
        <v>0</v>
      </c>
      <c r="K150" s="641">
        <v>0</v>
      </c>
      <c r="L150" s="641">
        <v>0</v>
      </c>
      <c r="M150" s="641">
        <v>0</v>
      </c>
      <c r="N150" s="642" t="s">
        <v>1786</v>
      </c>
      <c r="O150" s="641">
        <f>+I150-(SUM(J150:N150))</f>
        <v>610500</v>
      </c>
    </row>
    <row r="151" spans="1:15" s="441" customFormat="1" ht="131.25" x14ac:dyDescent="0.2">
      <c r="A151" s="439">
        <v>5</v>
      </c>
      <c r="B151" s="438" t="s">
        <v>2703</v>
      </c>
      <c r="C151" s="440" t="s">
        <v>2708</v>
      </c>
      <c r="D151" s="639" t="s">
        <v>2709</v>
      </c>
      <c r="E151" s="640" t="s">
        <v>1251</v>
      </c>
      <c r="F151" s="435" t="s">
        <v>2659</v>
      </c>
      <c r="G151" s="435" t="s">
        <v>1763</v>
      </c>
      <c r="H151" s="436" t="s">
        <v>2810</v>
      </c>
      <c r="I151" s="641">
        <v>620000</v>
      </c>
      <c r="J151" s="641">
        <v>0</v>
      </c>
      <c r="K151" s="641">
        <v>0</v>
      </c>
      <c r="L151" s="641">
        <v>425000</v>
      </c>
      <c r="M151" s="641">
        <v>127500</v>
      </c>
      <c r="N151" s="642"/>
      <c r="O151" s="641">
        <f>+I151-(SUM(J151:N151))</f>
        <v>67500</v>
      </c>
    </row>
    <row r="152" spans="1:15" s="441" customFormat="1" ht="225" x14ac:dyDescent="0.2">
      <c r="A152" s="439">
        <v>6</v>
      </c>
      <c r="B152" s="438" t="s">
        <v>2819</v>
      </c>
      <c r="C152" s="440" t="s">
        <v>2820</v>
      </c>
      <c r="D152" s="639" t="s">
        <v>2821</v>
      </c>
      <c r="E152" s="640" t="s">
        <v>1251</v>
      </c>
      <c r="F152" s="435" t="s">
        <v>2659</v>
      </c>
      <c r="G152" s="435" t="s">
        <v>1763</v>
      </c>
      <c r="H152" s="436" t="s">
        <v>2900</v>
      </c>
      <c r="I152" s="641">
        <v>4338070</v>
      </c>
      <c r="J152" s="641">
        <v>0</v>
      </c>
      <c r="K152" s="641">
        <v>0</v>
      </c>
      <c r="L152" s="641">
        <v>0</v>
      </c>
      <c r="M152" s="641">
        <v>0</v>
      </c>
      <c r="N152" s="642" t="s">
        <v>1786</v>
      </c>
      <c r="O152" s="641">
        <f>+I152-(SUM(J152:N152))</f>
        <v>4338070</v>
      </c>
    </row>
    <row r="153" spans="1:15" s="441" customFormat="1" ht="187.5" x14ac:dyDescent="0.2">
      <c r="A153" s="439">
        <v>7</v>
      </c>
      <c r="B153" s="438" t="s">
        <v>2870</v>
      </c>
      <c r="C153" s="440" t="s">
        <v>2901</v>
      </c>
      <c r="D153" s="639" t="s">
        <v>2902</v>
      </c>
      <c r="E153" s="640" t="s">
        <v>1251</v>
      </c>
      <c r="F153" s="435" t="s">
        <v>2554</v>
      </c>
      <c r="G153" s="435" t="s">
        <v>1763</v>
      </c>
      <c r="H153" s="436" t="s">
        <v>2903</v>
      </c>
      <c r="I153" s="641">
        <v>200000</v>
      </c>
      <c r="J153" s="641">
        <v>0</v>
      </c>
      <c r="K153" s="641">
        <v>0</v>
      </c>
      <c r="L153" s="641">
        <v>0</v>
      </c>
      <c r="M153" s="641">
        <v>0</v>
      </c>
      <c r="N153" s="642" t="s">
        <v>1786</v>
      </c>
      <c r="O153" s="641">
        <f>+I153-(SUM(J153:N153))</f>
        <v>200000</v>
      </c>
    </row>
    <row r="154" spans="1:15" s="441" customFormat="1" x14ac:dyDescent="0.2">
      <c r="A154" s="388" t="s">
        <v>2149</v>
      </c>
      <c r="B154" s="389"/>
      <c r="C154" s="446"/>
      <c r="D154" s="637"/>
      <c r="E154" s="442"/>
      <c r="F154" s="447"/>
      <c r="G154" s="447"/>
      <c r="H154" s="448"/>
      <c r="I154" s="393">
        <f>SUM(I155:I157)</f>
        <v>684000</v>
      </c>
      <c r="J154" s="393">
        <f t="shared" ref="J154:O154" si="13">SUM(J155:J157)</f>
        <v>34200</v>
      </c>
      <c r="K154" s="393">
        <f t="shared" si="13"/>
        <v>34200</v>
      </c>
      <c r="L154" s="393">
        <f t="shared" si="13"/>
        <v>0</v>
      </c>
      <c r="M154" s="393">
        <f t="shared" si="13"/>
        <v>0</v>
      </c>
      <c r="N154" s="393"/>
      <c r="O154" s="393">
        <f t="shared" si="13"/>
        <v>615600</v>
      </c>
    </row>
    <row r="155" spans="1:15" s="441" customFormat="1" ht="93.75" x14ac:dyDescent="0.2">
      <c r="A155" s="439">
        <v>1</v>
      </c>
      <c r="B155" s="438" t="s">
        <v>2455</v>
      </c>
      <c r="C155" s="440" t="s">
        <v>2465</v>
      </c>
      <c r="D155" s="639" t="s">
        <v>2466</v>
      </c>
      <c r="E155" s="640" t="s">
        <v>2421</v>
      </c>
      <c r="F155" s="435" t="s">
        <v>2149</v>
      </c>
      <c r="G155" s="435" t="s">
        <v>2422</v>
      </c>
      <c r="H155" s="436" t="s">
        <v>2804</v>
      </c>
      <c r="I155" s="641">
        <v>100000</v>
      </c>
      <c r="J155" s="641">
        <v>5000</v>
      </c>
      <c r="K155" s="641">
        <v>5000</v>
      </c>
      <c r="L155" s="641">
        <v>0</v>
      </c>
      <c r="M155" s="641">
        <v>0</v>
      </c>
      <c r="N155" s="644"/>
      <c r="O155" s="641">
        <f>+I155-(SUM(J155:N155))</f>
        <v>90000</v>
      </c>
    </row>
    <row r="156" spans="1:15" s="441" customFormat="1" ht="168.75" x14ac:dyDescent="0.2">
      <c r="A156" s="439">
        <v>2</v>
      </c>
      <c r="B156" s="438" t="s">
        <v>2490</v>
      </c>
      <c r="C156" s="440" t="s">
        <v>2491</v>
      </c>
      <c r="D156" s="639" t="s">
        <v>2492</v>
      </c>
      <c r="E156" s="640" t="s">
        <v>2219</v>
      </c>
      <c r="F156" s="435" t="s">
        <v>2149</v>
      </c>
      <c r="G156" s="435" t="s">
        <v>2220</v>
      </c>
      <c r="H156" s="436" t="s">
        <v>2805</v>
      </c>
      <c r="I156" s="641">
        <v>234000</v>
      </c>
      <c r="J156" s="641">
        <v>11700</v>
      </c>
      <c r="K156" s="641">
        <v>11700</v>
      </c>
      <c r="L156" s="641">
        <v>0</v>
      </c>
      <c r="M156" s="641">
        <v>0</v>
      </c>
      <c r="N156" s="644"/>
      <c r="O156" s="641">
        <f>+I156-(SUM(J156:N156))</f>
        <v>210600</v>
      </c>
    </row>
    <row r="157" spans="1:15" s="441" customFormat="1" ht="93.75" x14ac:dyDescent="0.2">
      <c r="A157" s="439">
        <v>3</v>
      </c>
      <c r="B157" s="438" t="s">
        <v>2571</v>
      </c>
      <c r="C157" s="440" t="s">
        <v>2574</v>
      </c>
      <c r="D157" s="639" t="s">
        <v>2575</v>
      </c>
      <c r="E157" s="640" t="s">
        <v>2421</v>
      </c>
      <c r="F157" s="435" t="s">
        <v>2149</v>
      </c>
      <c r="G157" s="435" t="s">
        <v>2422</v>
      </c>
      <c r="H157" s="436" t="s">
        <v>2806</v>
      </c>
      <c r="I157" s="641">
        <v>350000</v>
      </c>
      <c r="J157" s="641">
        <v>17500</v>
      </c>
      <c r="K157" s="641">
        <v>17500</v>
      </c>
      <c r="L157" s="641">
        <v>0</v>
      </c>
      <c r="M157" s="641">
        <v>0</v>
      </c>
      <c r="N157" s="644"/>
      <c r="O157" s="641">
        <f>+I157-(SUM(J157:N157))</f>
        <v>315000</v>
      </c>
    </row>
    <row r="158" spans="1:15" s="441" customFormat="1" x14ac:dyDescent="0.2">
      <c r="A158" s="388" t="s">
        <v>2467</v>
      </c>
      <c r="B158" s="389"/>
      <c r="C158" s="390"/>
      <c r="D158" s="637"/>
      <c r="E158" s="388"/>
      <c r="F158" s="391"/>
      <c r="G158" s="391"/>
      <c r="H158" s="392"/>
      <c r="I158" s="393">
        <f>SUM(I159:I161)</f>
        <v>1185800</v>
      </c>
      <c r="J158" s="393">
        <f t="shared" ref="J158:O158" si="14">SUM(J159:J161)</f>
        <v>0</v>
      </c>
      <c r="K158" s="393">
        <f t="shared" si="14"/>
        <v>0</v>
      </c>
      <c r="L158" s="393">
        <f t="shared" si="14"/>
        <v>0</v>
      </c>
      <c r="M158" s="393">
        <f t="shared" si="14"/>
        <v>0</v>
      </c>
      <c r="N158" s="393"/>
      <c r="O158" s="393">
        <f t="shared" si="14"/>
        <v>1185800</v>
      </c>
    </row>
    <row r="159" spans="1:15" s="441" customFormat="1" ht="75" x14ac:dyDescent="0.2">
      <c r="A159" s="439">
        <v>1</v>
      </c>
      <c r="B159" s="438" t="s">
        <v>2478</v>
      </c>
      <c r="C159" s="440" t="s">
        <v>2493</v>
      </c>
      <c r="D159" s="639" t="s">
        <v>2494</v>
      </c>
      <c r="E159" s="640" t="s">
        <v>2223</v>
      </c>
      <c r="F159" s="435" t="s">
        <v>2467</v>
      </c>
      <c r="G159" s="435" t="s">
        <v>2154</v>
      </c>
      <c r="H159" s="436" t="s">
        <v>2811</v>
      </c>
      <c r="I159" s="641">
        <v>205000</v>
      </c>
      <c r="J159" s="641">
        <v>0</v>
      </c>
      <c r="K159" s="641">
        <v>0</v>
      </c>
      <c r="L159" s="641">
        <v>0</v>
      </c>
      <c r="M159" s="641">
        <v>0</v>
      </c>
      <c r="N159" s="642" t="s">
        <v>1786</v>
      </c>
      <c r="O159" s="641">
        <f>+I159-(SUM(J159:N159))</f>
        <v>205000</v>
      </c>
    </row>
    <row r="160" spans="1:15" s="441" customFormat="1" ht="131.25" x14ac:dyDescent="0.2">
      <c r="A160" s="439">
        <v>2</v>
      </c>
      <c r="B160" s="438" t="s">
        <v>2528</v>
      </c>
      <c r="C160" s="440" t="s">
        <v>2529</v>
      </c>
      <c r="D160" s="639" t="s">
        <v>2530</v>
      </c>
      <c r="E160" s="640" t="s">
        <v>2224</v>
      </c>
      <c r="F160" s="435" t="s">
        <v>2467</v>
      </c>
      <c r="G160" s="435" t="s">
        <v>2154</v>
      </c>
      <c r="H160" s="436" t="s">
        <v>2812</v>
      </c>
      <c r="I160" s="641">
        <v>545800</v>
      </c>
      <c r="J160" s="641">
        <v>0</v>
      </c>
      <c r="K160" s="641">
        <v>0</v>
      </c>
      <c r="L160" s="641">
        <v>0</v>
      </c>
      <c r="M160" s="641">
        <v>0</v>
      </c>
      <c r="N160" s="642" t="s">
        <v>2325</v>
      </c>
      <c r="O160" s="641">
        <f>+I160-(SUM(J160:N160))</f>
        <v>545800</v>
      </c>
    </row>
    <row r="161" spans="1:15" s="441" customFormat="1" ht="187.5" x14ac:dyDescent="0.2">
      <c r="A161" s="439">
        <v>3</v>
      </c>
      <c r="B161" s="438" t="s">
        <v>2836</v>
      </c>
      <c r="C161" s="440" t="s">
        <v>2874</v>
      </c>
      <c r="D161" s="639" t="s">
        <v>2875</v>
      </c>
      <c r="E161" s="640" t="s">
        <v>2223</v>
      </c>
      <c r="F161" s="435" t="s">
        <v>2467</v>
      </c>
      <c r="G161" s="435" t="s">
        <v>2876</v>
      </c>
      <c r="H161" s="436" t="s">
        <v>2904</v>
      </c>
      <c r="I161" s="641">
        <v>435000</v>
      </c>
      <c r="J161" s="641">
        <v>0</v>
      </c>
      <c r="K161" s="641">
        <v>0</v>
      </c>
      <c r="L161" s="641">
        <v>0</v>
      </c>
      <c r="M161" s="641">
        <v>0</v>
      </c>
      <c r="N161" s="642" t="s">
        <v>1786</v>
      </c>
      <c r="O161" s="641">
        <f>+I161-(SUM(J161:N161))</f>
        <v>435000</v>
      </c>
    </row>
    <row r="162" spans="1:15" s="441" customFormat="1" x14ac:dyDescent="0.2">
      <c r="A162" s="388" t="s">
        <v>2555</v>
      </c>
      <c r="B162" s="389"/>
      <c r="C162" s="390"/>
      <c r="D162" s="637"/>
      <c r="E162" s="388"/>
      <c r="F162" s="391"/>
      <c r="G162" s="391"/>
      <c r="H162" s="392"/>
      <c r="I162" s="393">
        <f>SUM(I163)</f>
        <v>4407293.5</v>
      </c>
      <c r="J162" s="393">
        <f t="shared" ref="J162:O162" si="15">SUM(J163)</f>
        <v>0</v>
      </c>
      <c r="K162" s="393">
        <f t="shared" si="15"/>
        <v>0</v>
      </c>
      <c r="L162" s="393">
        <f t="shared" si="15"/>
        <v>0</v>
      </c>
      <c r="M162" s="393">
        <f t="shared" si="15"/>
        <v>0</v>
      </c>
      <c r="N162" s="393"/>
      <c r="O162" s="393">
        <f t="shared" si="15"/>
        <v>4407293.5</v>
      </c>
    </row>
    <row r="163" spans="1:15" s="441" customFormat="1" ht="150" x14ac:dyDescent="0.2">
      <c r="A163" s="439">
        <v>1</v>
      </c>
      <c r="B163" s="438" t="s">
        <v>2566</v>
      </c>
      <c r="C163" s="440" t="s">
        <v>2576</v>
      </c>
      <c r="D163" s="639" t="s">
        <v>2577</v>
      </c>
      <c r="E163" s="640" t="s">
        <v>2578</v>
      </c>
      <c r="F163" s="435" t="s">
        <v>2555</v>
      </c>
      <c r="G163" s="435" t="s">
        <v>930</v>
      </c>
      <c r="H163" s="436" t="s">
        <v>2813</v>
      </c>
      <c r="I163" s="641">
        <v>4407293.5</v>
      </c>
      <c r="J163" s="641">
        <v>0</v>
      </c>
      <c r="K163" s="641">
        <v>0</v>
      </c>
      <c r="L163" s="641">
        <v>0</v>
      </c>
      <c r="M163" s="641">
        <v>0</v>
      </c>
      <c r="N163" s="642" t="s">
        <v>2579</v>
      </c>
      <c r="O163" s="641">
        <f>+I163-(SUM(J163:N163))</f>
        <v>4407293.5</v>
      </c>
    </row>
    <row r="164" spans="1:15" s="386" customFormat="1" ht="26.25" customHeight="1" thickBot="1" x14ac:dyDescent="0.5">
      <c r="A164" s="649" t="s">
        <v>1919</v>
      </c>
      <c r="B164" s="650"/>
      <c r="C164" s="650"/>
      <c r="D164" s="650"/>
      <c r="E164" s="650"/>
      <c r="F164" s="650"/>
      <c r="G164" s="650"/>
      <c r="H164" s="651"/>
      <c r="I164" s="653">
        <f>SUM(I8+I16+I26+I30+I55+I59+I97+I102+I114+I135+I137+I146+I144+I154+I158+I162)</f>
        <v>51156312.100000001</v>
      </c>
      <c r="J164" s="654">
        <f t="shared" ref="J164:O164" si="16">SUM(J8+J16+J26+J30+J55+J59+J97+J102+J114+J135+J137+J146+J144+J154+J158+J162)</f>
        <v>765630.598</v>
      </c>
      <c r="K164" s="654">
        <f t="shared" si="16"/>
        <v>765630.598</v>
      </c>
      <c r="L164" s="655">
        <f t="shared" si="16"/>
        <v>957954</v>
      </c>
      <c r="M164" s="655">
        <f t="shared" si="16"/>
        <v>957954</v>
      </c>
      <c r="N164" s="655"/>
      <c r="O164" s="656">
        <f t="shared" si="16"/>
        <v>47709142.903999999</v>
      </c>
    </row>
    <row r="166" spans="1:15" x14ac:dyDescent="0.4">
      <c r="J166" s="369"/>
      <c r="K166" s="369"/>
      <c r="L166" s="369"/>
      <c r="M166" s="369"/>
      <c r="N166" s="652"/>
      <c r="O166" s="369"/>
    </row>
    <row r="167" spans="1:15" x14ac:dyDescent="0.4">
      <c r="J167" s="369"/>
      <c r="K167" s="369"/>
      <c r="L167" s="369"/>
      <c r="M167" s="369"/>
      <c r="N167" s="369"/>
      <c r="O167" s="369"/>
    </row>
  </sheetData>
  <mergeCells count="18">
    <mergeCell ref="G6:G7"/>
    <mergeCell ref="H6:H7"/>
    <mergeCell ref="A164:H164"/>
    <mergeCell ref="I6:I7"/>
    <mergeCell ref="J6:K6"/>
    <mergeCell ref="A1:O1"/>
    <mergeCell ref="A2:O2"/>
    <mergeCell ref="A3:O3"/>
    <mergeCell ref="A5:A7"/>
    <mergeCell ref="B5:I5"/>
    <mergeCell ref="J5:N5"/>
    <mergeCell ref="O5:O7"/>
    <mergeCell ref="B6:B7"/>
    <mergeCell ref="C6:C7"/>
    <mergeCell ref="D6:D7"/>
    <mergeCell ref="L6:N6"/>
    <mergeCell ref="E6:E7"/>
    <mergeCell ref="F6:F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4" zoomScaleNormal="100" workbookViewId="0">
      <selection activeCell="F30" sqref="F30"/>
    </sheetView>
  </sheetViews>
  <sheetFormatPr defaultRowHeight="23.25" x14ac:dyDescent="0.5"/>
  <cols>
    <col min="1" max="1" width="5" style="323" customWidth="1"/>
    <col min="2" max="2" width="37.25" style="323" customWidth="1"/>
    <col min="3" max="3" width="13.75" style="324" customWidth="1"/>
    <col min="4" max="7" width="14.375" style="325" customWidth="1"/>
    <col min="8" max="8" width="12.875" style="325" customWidth="1"/>
    <col min="9" max="9" width="13.75" style="325" customWidth="1"/>
    <col min="10" max="10" width="9" style="325"/>
    <col min="11" max="11" width="10.5" style="325" bestFit="1" customWidth="1"/>
    <col min="12" max="12" width="33.25" style="325" bestFit="1" customWidth="1"/>
    <col min="13" max="256" width="9" style="325"/>
    <col min="257" max="257" width="5" style="325" customWidth="1"/>
    <col min="258" max="258" width="37.25" style="325" customWidth="1"/>
    <col min="259" max="259" width="13.75" style="325" customWidth="1"/>
    <col min="260" max="263" width="14.375" style="325" customWidth="1"/>
    <col min="264" max="264" width="12.875" style="325" customWidth="1"/>
    <col min="265" max="265" width="13.75" style="325" customWidth="1"/>
    <col min="266" max="266" width="9" style="325"/>
    <col min="267" max="267" width="10.5" style="325" bestFit="1" customWidth="1"/>
    <col min="268" max="268" width="33.25" style="325" bestFit="1" customWidth="1"/>
    <col min="269" max="512" width="9" style="325"/>
    <col min="513" max="513" width="5" style="325" customWidth="1"/>
    <col min="514" max="514" width="37.25" style="325" customWidth="1"/>
    <col min="515" max="515" width="13.75" style="325" customWidth="1"/>
    <col min="516" max="519" width="14.375" style="325" customWidth="1"/>
    <col min="520" max="520" width="12.875" style="325" customWidth="1"/>
    <col min="521" max="521" width="13.75" style="325" customWidth="1"/>
    <col min="522" max="522" width="9" style="325"/>
    <col min="523" max="523" width="10.5" style="325" bestFit="1" customWidth="1"/>
    <col min="524" max="524" width="33.25" style="325" bestFit="1" customWidth="1"/>
    <col min="525" max="768" width="9" style="325"/>
    <col min="769" max="769" width="5" style="325" customWidth="1"/>
    <col min="770" max="770" width="37.25" style="325" customWidth="1"/>
    <col min="771" max="771" width="13.75" style="325" customWidth="1"/>
    <col min="772" max="775" width="14.375" style="325" customWidth="1"/>
    <col min="776" max="776" width="12.875" style="325" customWidth="1"/>
    <col min="777" max="777" width="13.75" style="325" customWidth="1"/>
    <col min="778" max="778" width="9" style="325"/>
    <col min="779" max="779" width="10.5" style="325" bestFit="1" customWidth="1"/>
    <col min="780" max="780" width="33.25" style="325" bestFit="1" customWidth="1"/>
    <col min="781" max="1024" width="9" style="325"/>
    <col min="1025" max="1025" width="5" style="325" customWidth="1"/>
    <col min="1026" max="1026" width="37.25" style="325" customWidth="1"/>
    <col min="1027" max="1027" width="13.75" style="325" customWidth="1"/>
    <col min="1028" max="1031" width="14.375" style="325" customWidth="1"/>
    <col min="1032" max="1032" width="12.875" style="325" customWidth="1"/>
    <col min="1033" max="1033" width="13.75" style="325" customWidth="1"/>
    <col min="1034" max="1034" width="9" style="325"/>
    <col min="1035" max="1035" width="10.5" style="325" bestFit="1" customWidth="1"/>
    <col min="1036" max="1036" width="33.25" style="325" bestFit="1" customWidth="1"/>
    <col min="1037" max="1280" width="9" style="325"/>
    <col min="1281" max="1281" width="5" style="325" customWidth="1"/>
    <col min="1282" max="1282" width="37.25" style="325" customWidth="1"/>
    <col min="1283" max="1283" width="13.75" style="325" customWidth="1"/>
    <col min="1284" max="1287" width="14.375" style="325" customWidth="1"/>
    <col min="1288" max="1288" width="12.875" style="325" customWidth="1"/>
    <col min="1289" max="1289" width="13.75" style="325" customWidth="1"/>
    <col min="1290" max="1290" width="9" style="325"/>
    <col min="1291" max="1291" width="10.5" style="325" bestFit="1" customWidth="1"/>
    <col min="1292" max="1292" width="33.25" style="325" bestFit="1" customWidth="1"/>
    <col min="1293" max="1536" width="9" style="325"/>
    <col min="1537" max="1537" width="5" style="325" customWidth="1"/>
    <col min="1538" max="1538" width="37.25" style="325" customWidth="1"/>
    <col min="1539" max="1539" width="13.75" style="325" customWidth="1"/>
    <col min="1540" max="1543" width="14.375" style="325" customWidth="1"/>
    <col min="1544" max="1544" width="12.875" style="325" customWidth="1"/>
    <col min="1545" max="1545" width="13.75" style="325" customWidth="1"/>
    <col min="1546" max="1546" width="9" style="325"/>
    <col min="1547" max="1547" width="10.5" style="325" bestFit="1" customWidth="1"/>
    <col min="1548" max="1548" width="33.25" style="325" bestFit="1" customWidth="1"/>
    <col min="1549" max="1792" width="9" style="325"/>
    <col min="1793" max="1793" width="5" style="325" customWidth="1"/>
    <col min="1794" max="1794" width="37.25" style="325" customWidth="1"/>
    <col min="1795" max="1795" width="13.75" style="325" customWidth="1"/>
    <col min="1796" max="1799" width="14.375" style="325" customWidth="1"/>
    <col min="1800" max="1800" width="12.875" style="325" customWidth="1"/>
    <col min="1801" max="1801" width="13.75" style="325" customWidth="1"/>
    <col min="1802" max="1802" width="9" style="325"/>
    <col min="1803" max="1803" width="10.5" style="325" bestFit="1" customWidth="1"/>
    <col min="1804" max="1804" width="33.25" style="325" bestFit="1" customWidth="1"/>
    <col min="1805" max="2048" width="9" style="325"/>
    <col min="2049" max="2049" width="5" style="325" customWidth="1"/>
    <col min="2050" max="2050" width="37.25" style="325" customWidth="1"/>
    <col min="2051" max="2051" width="13.75" style="325" customWidth="1"/>
    <col min="2052" max="2055" width="14.375" style="325" customWidth="1"/>
    <col min="2056" max="2056" width="12.875" style="325" customWidth="1"/>
    <col min="2057" max="2057" width="13.75" style="325" customWidth="1"/>
    <col min="2058" max="2058" width="9" style="325"/>
    <col min="2059" max="2059" width="10.5" style="325" bestFit="1" customWidth="1"/>
    <col min="2060" max="2060" width="33.25" style="325" bestFit="1" customWidth="1"/>
    <col min="2061" max="2304" width="9" style="325"/>
    <col min="2305" max="2305" width="5" style="325" customWidth="1"/>
    <col min="2306" max="2306" width="37.25" style="325" customWidth="1"/>
    <col min="2307" max="2307" width="13.75" style="325" customWidth="1"/>
    <col min="2308" max="2311" width="14.375" style="325" customWidth="1"/>
    <col min="2312" max="2312" width="12.875" style="325" customWidth="1"/>
    <col min="2313" max="2313" width="13.75" style="325" customWidth="1"/>
    <col min="2314" max="2314" width="9" style="325"/>
    <col min="2315" max="2315" width="10.5" style="325" bestFit="1" customWidth="1"/>
    <col min="2316" max="2316" width="33.25" style="325" bestFit="1" customWidth="1"/>
    <col min="2317" max="2560" width="9" style="325"/>
    <col min="2561" max="2561" width="5" style="325" customWidth="1"/>
    <col min="2562" max="2562" width="37.25" style="325" customWidth="1"/>
    <col min="2563" max="2563" width="13.75" style="325" customWidth="1"/>
    <col min="2564" max="2567" width="14.375" style="325" customWidth="1"/>
    <col min="2568" max="2568" width="12.875" style="325" customWidth="1"/>
    <col min="2569" max="2569" width="13.75" style="325" customWidth="1"/>
    <col min="2570" max="2570" width="9" style="325"/>
    <col min="2571" max="2571" width="10.5" style="325" bestFit="1" customWidth="1"/>
    <col min="2572" max="2572" width="33.25" style="325" bestFit="1" customWidth="1"/>
    <col min="2573" max="2816" width="9" style="325"/>
    <col min="2817" max="2817" width="5" style="325" customWidth="1"/>
    <col min="2818" max="2818" width="37.25" style="325" customWidth="1"/>
    <col min="2819" max="2819" width="13.75" style="325" customWidth="1"/>
    <col min="2820" max="2823" width="14.375" style="325" customWidth="1"/>
    <col min="2824" max="2824" width="12.875" style="325" customWidth="1"/>
    <col min="2825" max="2825" width="13.75" style="325" customWidth="1"/>
    <col min="2826" max="2826" width="9" style="325"/>
    <col min="2827" max="2827" width="10.5" style="325" bestFit="1" customWidth="1"/>
    <col min="2828" max="2828" width="33.25" style="325" bestFit="1" customWidth="1"/>
    <col min="2829" max="3072" width="9" style="325"/>
    <col min="3073" max="3073" width="5" style="325" customWidth="1"/>
    <col min="3074" max="3074" width="37.25" style="325" customWidth="1"/>
    <col min="3075" max="3075" width="13.75" style="325" customWidth="1"/>
    <col min="3076" max="3079" width="14.375" style="325" customWidth="1"/>
    <col min="3080" max="3080" width="12.875" style="325" customWidth="1"/>
    <col min="3081" max="3081" width="13.75" style="325" customWidth="1"/>
    <col min="3082" max="3082" width="9" style="325"/>
    <col min="3083" max="3083" width="10.5" style="325" bestFit="1" customWidth="1"/>
    <col min="3084" max="3084" width="33.25" style="325" bestFit="1" customWidth="1"/>
    <col min="3085" max="3328" width="9" style="325"/>
    <col min="3329" max="3329" width="5" style="325" customWidth="1"/>
    <col min="3330" max="3330" width="37.25" style="325" customWidth="1"/>
    <col min="3331" max="3331" width="13.75" style="325" customWidth="1"/>
    <col min="3332" max="3335" width="14.375" style="325" customWidth="1"/>
    <col min="3336" max="3336" width="12.875" style="325" customWidth="1"/>
    <col min="3337" max="3337" width="13.75" style="325" customWidth="1"/>
    <col min="3338" max="3338" width="9" style="325"/>
    <col min="3339" max="3339" width="10.5" style="325" bestFit="1" customWidth="1"/>
    <col min="3340" max="3340" width="33.25" style="325" bestFit="1" customWidth="1"/>
    <col min="3341" max="3584" width="9" style="325"/>
    <col min="3585" max="3585" width="5" style="325" customWidth="1"/>
    <col min="3586" max="3586" width="37.25" style="325" customWidth="1"/>
    <col min="3587" max="3587" width="13.75" style="325" customWidth="1"/>
    <col min="3588" max="3591" width="14.375" style="325" customWidth="1"/>
    <col min="3592" max="3592" width="12.875" style="325" customWidth="1"/>
    <col min="3593" max="3593" width="13.75" style="325" customWidth="1"/>
    <col min="3594" max="3594" width="9" style="325"/>
    <col min="3595" max="3595" width="10.5" style="325" bestFit="1" customWidth="1"/>
    <col min="3596" max="3596" width="33.25" style="325" bestFit="1" customWidth="1"/>
    <col min="3597" max="3840" width="9" style="325"/>
    <col min="3841" max="3841" width="5" style="325" customWidth="1"/>
    <col min="3842" max="3842" width="37.25" style="325" customWidth="1"/>
    <col min="3843" max="3843" width="13.75" style="325" customWidth="1"/>
    <col min="3844" max="3847" width="14.375" style="325" customWidth="1"/>
    <col min="3848" max="3848" width="12.875" style="325" customWidth="1"/>
    <col min="3849" max="3849" width="13.75" style="325" customWidth="1"/>
    <col min="3850" max="3850" width="9" style="325"/>
    <col min="3851" max="3851" width="10.5" style="325" bestFit="1" customWidth="1"/>
    <col min="3852" max="3852" width="33.25" style="325" bestFit="1" customWidth="1"/>
    <col min="3853" max="4096" width="9" style="325"/>
    <col min="4097" max="4097" width="5" style="325" customWidth="1"/>
    <col min="4098" max="4098" width="37.25" style="325" customWidth="1"/>
    <col min="4099" max="4099" width="13.75" style="325" customWidth="1"/>
    <col min="4100" max="4103" width="14.375" style="325" customWidth="1"/>
    <col min="4104" max="4104" width="12.875" style="325" customWidth="1"/>
    <col min="4105" max="4105" width="13.75" style="325" customWidth="1"/>
    <col min="4106" max="4106" width="9" style="325"/>
    <col min="4107" max="4107" width="10.5" style="325" bestFit="1" customWidth="1"/>
    <col min="4108" max="4108" width="33.25" style="325" bestFit="1" customWidth="1"/>
    <col min="4109" max="4352" width="9" style="325"/>
    <col min="4353" max="4353" width="5" style="325" customWidth="1"/>
    <col min="4354" max="4354" width="37.25" style="325" customWidth="1"/>
    <col min="4355" max="4355" width="13.75" style="325" customWidth="1"/>
    <col min="4356" max="4359" width="14.375" style="325" customWidth="1"/>
    <col min="4360" max="4360" width="12.875" style="325" customWidth="1"/>
    <col min="4361" max="4361" width="13.75" style="325" customWidth="1"/>
    <col min="4362" max="4362" width="9" style="325"/>
    <col min="4363" max="4363" width="10.5" style="325" bestFit="1" customWidth="1"/>
    <col min="4364" max="4364" width="33.25" style="325" bestFit="1" customWidth="1"/>
    <col min="4365" max="4608" width="9" style="325"/>
    <col min="4609" max="4609" width="5" style="325" customWidth="1"/>
    <col min="4610" max="4610" width="37.25" style="325" customWidth="1"/>
    <col min="4611" max="4611" width="13.75" style="325" customWidth="1"/>
    <col min="4612" max="4615" width="14.375" style="325" customWidth="1"/>
    <col min="4616" max="4616" width="12.875" style="325" customWidth="1"/>
    <col min="4617" max="4617" width="13.75" style="325" customWidth="1"/>
    <col min="4618" max="4618" width="9" style="325"/>
    <col min="4619" max="4619" width="10.5" style="325" bestFit="1" customWidth="1"/>
    <col min="4620" max="4620" width="33.25" style="325" bestFit="1" customWidth="1"/>
    <col min="4621" max="4864" width="9" style="325"/>
    <col min="4865" max="4865" width="5" style="325" customWidth="1"/>
    <col min="4866" max="4866" width="37.25" style="325" customWidth="1"/>
    <col min="4867" max="4867" width="13.75" style="325" customWidth="1"/>
    <col min="4868" max="4871" width="14.375" style="325" customWidth="1"/>
    <col min="4872" max="4872" width="12.875" style="325" customWidth="1"/>
    <col min="4873" max="4873" width="13.75" style="325" customWidth="1"/>
    <col min="4874" max="4874" width="9" style="325"/>
    <col min="4875" max="4875" width="10.5" style="325" bestFit="1" customWidth="1"/>
    <col min="4876" max="4876" width="33.25" style="325" bestFit="1" customWidth="1"/>
    <col min="4877" max="5120" width="9" style="325"/>
    <col min="5121" max="5121" width="5" style="325" customWidth="1"/>
    <col min="5122" max="5122" width="37.25" style="325" customWidth="1"/>
    <col min="5123" max="5123" width="13.75" style="325" customWidth="1"/>
    <col min="5124" max="5127" width="14.375" style="325" customWidth="1"/>
    <col min="5128" max="5128" width="12.875" style="325" customWidth="1"/>
    <col min="5129" max="5129" width="13.75" style="325" customWidth="1"/>
    <col min="5130" max="5130" width="9" style="325"/>
    <col min="5131" max="5131" width="10.5" style="325" bestFit="1" customWidth="1"/>
    <col min="5132" max="5132" width="33.25" style="325" bestFit="1" customWidth="1"/>
    <col min="5133" max="5376" width="9" style="325"/>
    <col min="5377" max="5377" width="5" style="325" customWidth="1"/>
    <col min="5378" max="5378" width="37.25" style="325" customWidth="1"/>
    <col min="5379" max="5379" width="13.75" style="325" customWidth="1"/>
    <col min="5380" max="5383" width="14.375" style="325" customWidth="1"/>
    <col min="5384" max="5384" width="12.875" style="325" customWidth="1"/>
    <col min="5385" max="5385" width="13.75" style="325" customWidth="1"/>
    <col min="5386" max="5386" width="9" style="325"/>
    <col min="5387" max="5387" width="10.5" style="325" bestFit="1" customWidth="1"/>
    <col min="5388" max="5388" width="33.25" style="325" bestFit="1" customWidth="1"/>
    <col min="5389" max="5632" width="9" style="325"/>
    <col min="5633" max="5633" width="5" style="325" customWidth="1"/>
    <col min="5634" max="5634" width="37.25" style="325" customWidth="1"/>
    <col min="5635" max="5635" width="13.75" style="325" customWidth="1"/>
    <col min="5636" max="5639" width="14.375" style="325" customWidth="1"/>
    <col min="5640" max="5640" width="12.875" style="325" customWidth="1"/>
    <col min="5641" max="5641" width="13.75" style="325" customWidth="1"/>
    <col min="5642" max="5642" width="9" style="325"/>
    <col min="5643" max="5643" width="10.5" style="325" bestFit="1" customWidth="1"/>
    <col min="5644" max="5644" width="33.25" style="325" bestFit="1" customWidth="1"/>
    <col min="5645" max="5888" width="9" style="325"/>
    <col min="5889" max="5889" width="5" style="325" customWidth="1"/>
    <col min="5890" max="5890" width="37.25" style="325" customWidth="1"/>
    <col min="5891" max="5891" width="13.75" style="325" customWidth="1"/>
    <col min="5892" max="5895" width="14.375" style="325" customWidth="1"/>
    <col min="5896" max="5896" width="12.875" style="325" customWidth="1"/>
    <col min="5897" max="5897" width="13.75" style="325" customWidth="1"/>
    <col min="5898" max="5898" width="9" style="325"/>
    <col min="5899" max="5899" width="10.5" style="325" bestFit="1" customWidth="1"/>
    <col min="5900" max="5900" width="33.25" style="325" bestFit="1" customWidth="1"/>
    <col min="5901" max="6144" width="9" style="325"/>
    <col min="6145" max="6145" width="5" style="325" customWidth="1"/>
    <col min="6146" max="6146" width="37.25" style="325" customWidth="1"/>
    <col min="6147" max="6147" width="13.75" style="325" customWidth="1"/>
    <col min="6148" max="6151" width="14.375" style="325" customWidth="1"/>
    <col min="6152" max="6152" width="12.875" style="325" customWidth="1"/>
    <col min="6153" max="6153" width="13.75" style="325" customWidth="1"/>
    <col min="6154" max="6154" width="9" style="325"/>
    <col min="6155" max="6155" width="10.5" style="325" bestFit="1" customWidth="1"/>
    <col min="6156" max="6156" width="33.25" style="325" bestFit="1" customWidth="1"/>
    <col min="6157" max="6400" width="9" style="325"/>
    <col min="6401" max="6401" width="5" style="325" customWidth="1"/>
    <col min="6402" max="6402" width="37.25" style="325" customWidth="1"/>
    <col min="6403" max="6403" width="13.75" style="325" customWidth="1"/>
    <col min="6404" max="6407" width="14.375" style="325" customWidth="1"/>
    <col min="6408" max="6408" width="12.875" style="325" customWidth="1"/>
    <col min="6409" max="6409" width="13.75" style="325" customWidth="1"/>
    <col min="6410" max="6410" width="9" style="325"/>
    <col min="6411" max="6411" width="10.5" style="325" bestFit="1" customWidth="1"/>
    <col min="6412" max="6412" width="33.25" style="325" bestFit="1" customWidth="1"/>
    <col min="6413" max="6656" width="9" style="325"/>
    <col min="6657" max="6657" width="5" style="325" customWidth="1"/>
    <col min="6658" max="6658" width="37.25" style="325" customWidth="1"/>
    <col min="6659" max="6659" width="13.75" style="325" customWidth="1"/>
    <col min="6660" max="6663" width="14.375" style="325" customWidth="1"/>
    <col min="6664" max="6664" width="12.875" style="325" customWidth="1"/>
    <col min="6665" max="6665" width="13.75" style="325" customWidth="1"/>
    <col min="6666" max="6666" width="9" style="325"/>
    <col min="6667" max="6667" width="10.5" style="325" bestFit="1" customWidth="1"/>
    <col min="6668" max="6668" width="33.25" style="325" bestFit="1" customWidth="1"/>
    <col min="6669" max="6912" width="9" style="325"/>
    <col min="6913" max="6913" width="5" style="325" customWidth="1"/>
    <col min="6914" max="6914" width="37.25" style="325" customWidth="1"/>
    <col min="6915" max="6915" width="13.75" style="325" customWidth="1"/>
    <col min="6916" max="6919" width="14.375" style="325" customWidth="1"/>
    <col min="6920" max="6920" width="12.875" style="325" customWidth="1"/>
    <col min="6921" max="6921" width="13.75" style="325" customWidth="1"/>
    <col min="6922" max="6922" width="9" style="325"/>
    <col min="6923" max="6923" width="10.5" style="325" bestFit="1" customWidth="1"/>
    <col min="6924" max="6924" width="33.25" style="325" bestFit="1" customWidth="1"/>
    <col min="6925" max="7168" width="9" style="325"/>
    <col min="7169" max="7169" width="5" style="325" customWidth="1"/>
    <col min="7170" max="7170" width="37.25" style="325" customWidth="1"/>
    <col min="7171" max="7171" width="13.75" style="325" customWidth="1"/>
    <col min="7172" max="7175" width="14.375" style="325" customWidth="1"/>
    <col min="7176" max="7176" width="12.875" style="325" customWidth="1"/>
    <col min="7177" max="7177" width="13.75" style="325" customWidth="1"/>
    <col min="7178" max="7178" width="9" style="325"/>
    <col min="7179" max="7179" width="10.5" style="325" bestFit="1" customWidth="1"/>
    <col min="7180" max="7180" width="33.25" style="325" bestFit="1" customWidth="1"/>
    <col min="7181" max="7424" width="9" style="325"/>
    <col min="7425" max="7425" width="5" style="325" customWidth="1"/>
    <col min="7426" max="7426" width="37.25" style="325" customWidth="1"/>
    <col min="7427" max="7427" width="13.75" style="325" customWidth="1"/>
    <col min="7428" max="7431" width="14.375" style="325" customWidth="1"/>
    <col min="7432" max="7432" width="12.875" style="325" customWidth="1"/>
    <col min="7433" max="7433" width="13.75" style="325" customWidth="1"/>
    <col min="7434" max="7434" width="9" style="325"/>
    <col min="7435" max="7435" width="10.5" style="325" bestFit="1" customWidth="1"/>
    <col min="7436" max="7436" width="33.25" style="325" bestFit="1" customWidth="1"/>
    <col min="7437" max="7680" width="9" style="325"/>
    <col min="7681" max="7681" width="5" style="325" customWidth="1"/>
    <col min="7682" max="7682" width="37.25" style="325" customWidth="1"/>
    <col min="7683" max="7683" width="13.75" style="325" customWidth="1"/>
    <col min="7684" max="7687" width="14.375" style="325" customWidth="1"/>
    <col min="7688" max="7688" width="12.875" style="325" customWidth="1"/>
    <col min="7689" max="7689" width="13.75" style="325" customWidth="1"/>
    <col min="7690" max="7690" width="9" style="325"/>
    <col min="7691" max="7691" width="10.5" style="325" bestFit="1" customWidth="1"/>
    <col min="7692" max="7692" width="33.25" style="325" bestFit="1" customWidth="1"/>
    <col min="7693" max="7936" width="9" style="325"/>
    <col min="7937" max="7937" width="5" style="325" customWidth="1"/>
    <col min="7938" max="7938" width="37.25" style="325" customWidth="1"/>
    <col min="7939" max="7939" width="13.75" style="325" customWidth="1"/>
    <col min="7940" max="7943" width="14.375" style="325" customWidth="1"/>
    <col min="7944" max="7944" width="12.875" style="325" customWidth="1"/>
    <col min="7945" max="7945" width="13.75" style="325" customWidth="1"/>
    <col min="7946" max="7946" width="9" style="325"/>
    <col min="7947" max="7947" width="10.5" style="325" bestFit="1" customWidth="1"/>
    <col min="7948" max="7948" width="33.25" style="325" bestFit="1" customWidth="1"/>
    <col min="7949" max="8192" width="9" style="325"/>
    <col min="8193" max="8193" width="5" style="325" customWidth="1"/>
    <col min="8194" max="8194" width="37.25" style="325" customWidth="1"/>
    <col min="8195" max="8195" width="13.75" style="325" customWidth="1"/>
    <col min="8196" max="8199" width="14.375" style="325" customWidth="1"/>
    <col min="8200" max="8200" width="12.875" style="325" customWidth="1"/>
    <col min="8201" max="8201" width="13.75" style="325" customWidth="1"/>
    <col min="8202" max="8202" width="9" style="325"/>
    <col min="8203" max="8203" width="10.5" style="325" bestFit="1" customWidth="1"/>
    <col min="8204" max="8204" width="33.25" style="325" bestFit="1" customWidth="1"/>
    <col min="8205" max="8448" width="9" style="325"/>
    <col min="8449" max="8449" width="5" style="325" customWidth="1"/>
    <col min="8450" max="8450" width="37.25" style="325" customWidth="1"/>
    <col min="8451" max="8451" width="13.75" style="325" customWidth="1"/>
    <col min="8452" max="8455" width="14.375" style="325" customWidth="1"/>
    <col min="8456" max="8456" width="12.875" style="325" customWidth="1"/>
    <col min="8457" max="8457" width="13.75" style="325" customWidth="1"/>
    <col min="8458" max="8458" width="9" style="325"/>
    <col min="8459" max="8459" width="10.5" style="325" bestFit="1" customWidth="1"/>
    <col min="8460" max="8460" width="33.25" style="325" bestFit="1" customWidth="1"/>
    <col min="8461" max="8704" width="9" style="325"/>
    <col min="8705" max="8705" width="5" style="325" customWidth="1"/>
    <col min="8706" max="8706" width="37.25" style="325" customWidth="1"/>
    <col min="8707" max="8707" width="13.75" style="325" customWidth="1"/>
    <col min="8708" max="8711" width="14.375" style="325" customWidth="1"/>
    <col min="8712" max="8712" width="12.875" style="325" customWidth="1"/>
    <col min="8713" max="8713" width="13.75" style="325" customWidth="1"/>
    <col min="8714" max="8714" width="9" style="325"/>
    <col min="8715" max="8715" width="10.5" style="325" bestFit="1" customWidth="1"/>
    <col min="8716" max="8716" width="33.25" style="325" bestFit="1" customWidth="1"/>
    <col min="8717" max="8960" width="9" style="325"/>
    <col min="8961" max="8961" width="5" style="325" customWidth="1"/>
    <col min="8962" max="8962" width="37.25" style="325" customWidth="1"/>
    <col min="8963" max="8963" width="13.75" style="325" customWidth="1"/>
    <col min="8964" max="8967" width="14.375" style="325" customWidth="1"/>
    <col min="8968" max="8968" width="12.875" style="325" customWidth="1"/>
    <col min="8969" max="8969" width="13.75" style="325" customWidth="1"/>
    <col min="8970" max="8970" width="9" style="325"/>
    <col min="8971" max="8971" width="10.5" style="325" bestFit="1" customWidth="1"/>
    <col min="8972" max="8972" width="33.25" style="325" bestFit="1" customWidth="1"/>
    <col min="8973" max="9216" width="9" style="325"/>
    <col min="9217" max="9217" width="5" style="325" customWidth="1"/>
    <col min="9218" max="9218" width="37.25" style="325" customWidth="1"/>
    <col min="9219" max="9219" width="13.75" style="325" customWidth="1"/>
    <col min="9220" max="9223" width="14.375" style="325" customWidth="1"/>
    <col min="9224" max="9224" width="12.875" style="325" customWidth="1"/>
    <col min="9225" max="9225" width="13.75" style="325" customWidth="1"/>
    <col min="9226" max="9226" width="9" style="325"/>
    <col min="9227" max="9227" width="10.5" style="325" bestFit="1" customWidth="1"/>
    <col min="9228" max="9228" width="33.25" style="325" bestFit="1" customWidth="1"/>
    <col min="9229" max="9472" width="9" style="325"/>
    <col min="9473" max="9473" width="5" style="325" customWidth="1"/>
    <col min="9474" max="9474" width="37.25" style="325" customWidth="1"/>
    <col min="9475" max="9475" width="13.75" style="325" customWidth="1"/>
    <col min="9476" max="9479" width="14.375" style="325" customWidth="1"/>
    <col min="9480" max="9480" width="12.875" style="325" customWidth="1"/>
    <col min="9481" max="9481" width="13.75" style="325" customWidth="1"/>
    <col min="9482" max="9482" width="9" style="325"/>
    <col min="9483" max="9483" width="10.5" style="325" bestFit="1" customWidth="1"/>
    <col min="9484" max="9484" width="33.25" style="325" bestFit="1" customWidth="1"/>
    <col min="9485" max="9728" width="9" style="325"/>
    <col min="9729" max="9729" width="5" style="325" customWidth="1"/>
    <col min="9730" max="9730" width="37.25" style="325" customWidth="1"/>
    <col min="9731" max="9731" width="13.75" style="325" customWidth="1"/>
    <col min="9732" max="9735" width="14.375" style="325" customWidth="1"/>
    <col min="9736" max="9736" width="12.875" style="325" customWidth="1"/>
    <col min="9737" max="9737" width="13.75" style="325" customWidth="1"/>
    <col min="9738" max="9738" width="9" style="325"/>
    <col min="9739" max="9739" width="10.5" style="325" bestFit="1" customWidth="1"/>
    <col min="9740" max="9740" width="33.25" style="325" bestFit="1" customWidth="1"/>
    <col min="9741" max="9984" width="9" style="325"/>
    <col min="9985" max="9985" width="5" style="325" customWidth="1"/>
    <col min="9986" max="9986" width="37.25" style="325" customWidth="1"/>
    <col min="9987" max="9987" width="13.75" style="325" customWidth="1"/>
    <col min="9988" max="9991" width="14.375" style="325" customWidth="1"/>
    <col min="9992" max="9992" width="12.875" style="325" customWidth="1"/>
    <col min="9993" max="9993" width="13.75" style="325" customWidth="1"/>
    <col min="9994" max="9994" width="9" style="325"/>
    <col min="9995" max="9995" width="10.5" style="325" bestFit="1" customWidth="1"/>
    <col min="9996" max="9996" width="33.25" style="325" bestFit="1" customWidth="1"/>
    <col min="9997" max="10240" width="9" style="325"/>
    <col min="10241" max="10241" width="5" style="325" customWidth="1"/>
    <col min="10242" max="10242" width="37.25" style="325" customWidth="1"/>
    <col min="10243" max="10243" width="13.75" style="325" customWidth="1"/>
    <col min="10244" max="10247" width="14.375" style="325" customWidth="1"/>
    <col min="10248" max="10248" width="12.875" style="325" customWidth="1"/>
    <col min="10249" max="10249" width="13.75" style="325" customWidth="1"/>
    <col min="10250" max="10250" width="9" style="325"/>
    <col min="10251" max="10251" width="10.5" style="325" bestFit="1" customWidth="1"/>
    <col min="10252" max="10252" width="33.25" style="325" bestFit="1" customWidth="1"/>
    <col min="10253" max="10496" width="9" style="325"/>
    <col min="10497" max="10497" width="5" style="325" customWidth="1"/>
    <col min="10498" max="10498" width="37.25" style="325" customWidth="1"/>
    <col min="10499" max="10499" width="13.75" style="325" customWidth="1"/>
    <col min="10500" max="10503" width="14.375" style="325" customWidth="1"/>
    <col min="10504" max="10504" width="12.875" style="325" customWidth="1"/>
    <col min="10505" max="10505" width="13.75" style="325" customWidth="1"/>
    <col min="10506" max="10506" width="9" style="325"/>
    <col min="10507" max="10507" width="10.5" style="325" bestFit="1" customWidth="1"/>
    <col min="10508" max="10508" width="33.25" style="325" bestFit="1" customWidth="1"/>
    <col min="10509" max="10752" width="9" style="325"/>
    <col min="10753" max="10753" width="5" style="325" customWidth="1"/>
    <col min="10754" max="10754" width="37.25" style="325" customWidth="1"/>
    <col min="10755" max="10755" width="13.75" style="325" customWidth="1"/>
    <col min="10756" max="10759" width="14.375" style="325" customWidth="1"/>
    <col min="10760" max="10760" width="12.875" style="325" customWidth="1"/>
    <col min="10761" max="10761" width="13.75" style="325" customWidth="1"/>
    <col min="10762" max="10762" width="9" style="325"/>
    <col min="10763" max="10763" width="10.5" style="325" bestFit="1" customWidth="1"/>
    <col min="10764" max="10764" width="33.25" style="325" bestFit="1" customWidth="1"/>
    <col min="10765" max="11008" width="9" style="325"/>
    <col min="11009" max="11009" width="5" style="325" customWidth="1"/>
    <col min="11010" max="11010" width="37.25" style="325" customWidth="1"/>
    <col min="11011" max="11011" width="13.75" style="325" customWidth="1"/>
    <col min="11012" max="11015" width="14.375" style="325" customWidth="1"/>
    <col min="11016" max="11016" width="12.875" style="325" customWidth="1"/>
    <col min="11017" max="11017" width="13.75" style="325" customWidth="1"/>
    <col min="11018" max="11018" width="9" style="325"/>
    <col min="11019" max="11019" width="10.5" style="325" bestFit="1" customWidth="1"/>
    <col min="11020" max="11020" width="33.25" style="325" bestFit="1" customWidth="1"/>
    <col min="11021" max="11264" width="9" style="325"/>
    <col min="11265" max="11265" width="5" style="325" customWidth="1"/>
    <col min="11266" max="11266" width="37.25" style="325" customWidth="1"/>
    <col min="11267" max="11267" width="13.75" style="325" customWidth="1"/>
    <col min="11268" max="11271" width="14.375" style="325" customWidth="1"/>
    <col min="11272" max="11272" width="12.875" style="325" customWidth="1"/>
    <col min="11273" max="11273" width="13.75" style="325" customWidth="1"/>
    <col min="11274" max="11274" width="9" style="325"/>
    <col min="11275" max="11275" width="10.5" style="325" bestFit="1" customWidth="1"/>
    <col min="11276" max="11276" width="33.25" style="325" bestFit="1" customWidth="1"/>
    <col min="11277" max="11520" width="9" style="325"/>
    <col min="11521" max="11521" width="5" style="325" customWidth="1"/>
    <col min="11522" max="11522" width="37.25" style="325" customWidth="1"/>
    <col min="11523" max="11523" width="13.75" style="325" customWidth="1"/>
    <col min="11524" max="11527" width="14.375" style="325" customWidth="1"/>
    <col min="11528" max="11528" width="12.875" style="325" customWidth="1"/>
    <col min="11529" max="11529" width="13.75" style="325" customWidth="1"/>
    <col min="11530" max="11530" width="9" style="325"/>
    <col min="11531" max="11531" width="10.5" style="325" bestFit="1" customWidth="1"/>
    <col min="11532" max="11532" width="33.25" style="325" bestFit="1" customWidth="1"/>
    <col min="11533" max="11776" width="9" style="325"/>
    <col min="11777" max="11777" width="5" style="325" customWidth="1"/>
    <col min="11778" max="11778" width="37.25" style="325" customWidth="1"/>
    <col min="11779" max="11779" width="13.75" style="325" customWidth="1"/>
    <col min="11780" max="11783" width="14.375" style="325" customWidth="1"/>
    <col min="11784" max="11784" width="12.875" style="325" customWidth="1"/>
    <col min="11785" max="11785" width="13.75" style="325" customWidth="1"/>
    <col min="11786" max="11786" width="9" style="325"/>
    <col min="11787" max="11787" width="10.5" style="325" bestFit="1" customWidth="1"/>
    <col min="11788" max="11788" width="33.25" style="325" bestFit="1" customWidth="1"/>
    <col min="11789" max="12032" width="9" style="325"/>
    <col min="12033" max="12033" width="5" style="325" customWidth="1"/>
    <col min="12034" max="12034" width="37.25" style="325" customWidth="1"/>
    <col min="12035" max="12035" width="13.75" style="325" customWidth="1"/>
    <col min="12036" max="12039" width="14.375" style="325" customWidth="1"/>
    <col min="12040" max="12040" width="12.875" style="325" customWidth="1"/>
    <col min="12041" max="12041" width="13.75" style="325" customWidth="1"/>
    <col min="12042" max="12042" width="9" style="325"/>
    <col min="12043" max="12043" width="10.5" style="325" bestFit="1" customWidth="1"/>
    <col min="12044" max="12044" width="33.25" style="325" bestFit="1" customWidth="1"/>
    <col min="12045" max="12288" width="9" style="325"/>
    <col min="12289" max="12289" width="5" style="325" customWidth="1"/>
    <col min="12290" max="12290" width="37.25" style="325" customWidth="1"/>
    <col min="12291" max="12291" width="13.75" style="325" customWidth="1"/>
    <col min="12292" max="12295" width="14.375" style="325" customWidth="1"/>
    <col min="12296" max="12296" width="12.875" style="325" customWidth="1"/>
    <col min="12297" max="12297" width="13.75" style="325" customWidth="1"/>
    <col min="12298" max="12298" width="9" style="325"/>
    <col min="12299" max="12299" width="10.5" style="325" bestFit="1" customWidth="1"/>
    <col min="12300" max="12300" width="33.25" style="325" bestFit="1" customWidth="1"/>
    <col min="12301" max="12544" width="9" style="325"/>
    <col min="12545" max="12545" width="5" style="325" customWidth="1"/>
    <col min="12546" max="12546" width="37.25" style="325" customWidth="1"/>
    <col min="12547" max="12547" width="13.75" style="325" customWidth="1"/>
    <col min="12548" max="12551" width="14.375" style="325" customWidth="1"/>
    <col min="12552" max="12552" width="12.875" style="325" customWidth="1"/>
    <col min="12553" max="12553" width="13.75" style="325" customWidth="1"/>
    <col min="12554" max="12554" width="9" style="325"/>
    <col min="12555" max="12555" width="10.5" style="325" bestFit="1" customWidth="1"/>
    <col min="12556" max="12556" width="33.25" style="325" bestFit="1" customWidth="1"/>
    <col min="12557" max="12800" width="9" style="325"/>
    <col min="12801" max="12801" width="5" style="325" customWidth="1"/>
    <col min="12802" max="12802" width="37.25" style="325" customWidth="1"/>
    <col min="12803" max="12803" width="13.75" style="325" customWidth="1"/>
    <col min="12804" max="12807" width="14.375" style="325" customWidth="1"/>
    <col min="12808" max="12808" width="12.875" style="325" customWidth="1"/>
    <col min="12809" max="12809" width="13.75" style="325" customWidth="1"/>
    <col min="12810" max="12810" width="9" style="325"/>
    <col min="12811" max="12811" width="10.5" style="325" bestFit="1" customWidth="1"/>
    <col min="12812" max="12812" width="33.25" style="325" bestFit="1" customWidth="1"/>
    <col min="12813" max="13056" width="9" style="325"/>
    <col min="13057" max="13057" width="5" style="325" customWidth="1"/>
    <col min="13058" max="13058" width="37.25" style="325" customWidth="1"/>
    <col min="13059" max="13059" width="13.75" style="325" customWidth="1"/>
    <col min="13060" max="13063" width="14.375" style="325" customWidth="1"/>
    <col min="13064" max="13064" width="12.875" style="325" customWidth="1"/>
    <col min="13065" max="13065" width="13.75" style="325" customWidth="1"/>
    <col min="13066" max="13066" width="9" style="325"/>
    <col min="13067" max="13067" width="10.5" style="325" bestFit="1" customWidth="1"/>
    <col min="13068" max="13068" width="33.25" style="325" bestFit="1" customWidth="1"/>
    <col min="13069" max="13312" width="9" style="325"/>
    <col min="13313" max="13313" width="5" style="325" customWidth="1"/>
    <col min="13314" max="13314" width="37.25" style="325" customWidth="1"/>
    <col min="13315" max="13315" width="13.75" style="325" customWidth="1"/>
    <col min="13316" max="13319" width="14.375" style="325" customWidth="1"/>
    <col min="13320" max="13320" width="12.875" style="325" customWidth="1"/>
    <col min="13321" max="13321" width="13.75" style="325" customWidth="1"/>
    <col min="13322" max="13322" width="9" style="325"/>
    <col min="13323" max="13323" width="10.5" style="325" bestFit="1" customWidth="1"/>
    <col min="13324" max="13324" width="33.25" style="325" bestFit="1" customWidth="1"/>
    <col min="13325" max="13568" width="9" style="325"/>
    <col min="13569" max="13569" width="5" style="325" customWidth="1"/>
    <col min="13570" max="13570" width="37.25" style="325" customWidth="1"/>
    <col min="13571" max="13571" width="13.75" style="325" customWidth="1"/>
    <col min="13572" max="13575" width="14.375" style="325" customWidth="1"/>
    <col min="13576" max="13576" width="12.875" style="325" customWidth="1"/>
    <col min="13577" max="13577" width="13.75" style="325" customWidth="1"/>
    <col min="13578" max="13578" width="9" style="325"/>
    <col min="13579" max="13579" width="10.5" style="325" bestFit="1" customWidth="1"/>
    <col min="13580" max="13580" width="33.25" style="325" bestFit="1" customWidth="1"/>
    <col min="13581" max="13824" width="9" style="325"/>
    <col min="13825" max="13825" width="5" style="325" customWidth="1"/>
    <col min="13826" max="13826" width="37.25" style="325" customWidth="1"/>
    <col min="13827" max="13827" width="13.75" style="325" customWidth="1"/>
    <col min="13828" max="13831" width="14.375" style="325" customWidth="1"/>
    <col min="13832" max="13832" width="12.875" style="325" customWidth="1"/>
    <col min="13833" max="13833" width="13.75" style="325" customWidth="1"/>
    <col min="13834" max="13834" width="9" style="325"/>
    <col min="13835" max="13835" width="10.5" style="325" bestFit="1" customWidth="1"/>
    <col min="13836" max="13836" width="33.25" style="325" bestFit="1" customWidth="1"/>
    <col min="13837" max="14080" width="9" style="325"/>
    <col min="14081" max="14081" width="5" style="325" customWidth="1"/>
    <col min="14082" max="14082" width="37.25" style="325" customWidth="1"/>
    <col min="14083" max="14083" width="13.75" style="325" customWidth="1"/>
    <col min="14084" max="14087" width="14.375" style="325" customWidth="1"/>
    <col min="14088" max="14088" width="12.875" style="325" customWidth="1"/>
    <col min="14089" max="14089" width="13.75" style="325" customWidth="1"/>
    <col min="14090" max="14090" width="9" style="325"/>
    <col min="14091" max="14091" width="10.5" style="325" bestFit="1" customWidth="1"/>
    <col min="14092" max="14092" width="33.25" style="325" bestFit="1" customWidth="1"/>
    <col min="14093" max="14336" width="9" style="325"/>
    <col min="14337" max="14337" width="5" style="325" customWidth="1"/>
    <col min="14338" max="14338" width="37.25" style="325" customWidth="1"/>
    <col min="14339" max="14339" width="13.75" style="325" customWidth="1"/>
    <col min="14340" max="14343" width="14.375" style="325" customWidth="1"/>
    <col min="14344" max="14344" width="12.875" style="325" customWidth="1"/>
    <col min="14345" max="14345" width="13.75" style="325" customWidth="1"/>
    <col min="14346" max="14346" width="9" style="325"/>
    <col min="14347" max="14347" width="10.5" style="325" bestFit="1" customWidth="1"/>
    <col min="14348" max="14348" width="33.25" style="325" bestFit="1" customWidth="1"/>
    <col min="14349" max="14592" width="9" style="325"/>
    <col min="14593" max="14593" width="5" style="325" customWidth="1"/>
    <col min="14594" max="14594" width="37.25" style="325" customWidth="1"/>
    <col min="14595" max="14595" width="13.75" style="325" customWidth="1"/>
    <col min="14596" max="14599" width="14.375" style="325" customWidth="1"/>
    <col min="14600" max="14600" width="12.875" style="325" customWidth="1"/>
    <col min="14601" max="14601" width="13.75" style="325" customWidth="1"/>
    <col min="14602" max="14602" width="9" style="325"/>
    <col min="14603" max="14603" width="10.5" style="325" bestFit="1" customWidth="1"/>
    <col min="14604" max="14604" width="33.25" style="325" bestFit="1" customWidth="1"/>
    <col min="14605" max="14848" width="9" style="325"/>
    <col min="14849" max="14849" width="5" style="325" customWidth="1"/>
    <col min="14850" max="14850" width="37.25" style="325" customWidth="1"/>
    <col min="14851" max="14851" width="13.75" style="325" customWidth="1"/>
    <col min="14852" max="14855" width="14.375" style="325" customWidth="1"/>
    <col min="14856" max="14856" width="12.875" style="325" customWidth="1"/>
    <col min="14857" max="14857" width="13.75" style="325" customWidth="1"/>
    <col min="14858" max="14858" width="9" style="325"/>
    <col min="14859" max="14859" width="10.5" style="325" bestFit="1" customWidth="1"/>
    <col min="14860" max="14860" width="33.25" style="325" bestFit="1" customWidth="1"/>
    <col min="14861" max="15104" width="9" style="325"/>
    <col min="15105" max="15105" width="5" style="325" customWidth="1"/>
    <col min="15106" max="15106" width="37.25" style="325" customWidth="1"/>
    <col min="15107" max="15107" width="13.75" style="325" customWidth="1"/>
    <col min="15108" max="15111" width="14.375" style="325" customWidth="1"/>
    <col min="15112" max="15112" width="12.875" style="325" customWidth="1"/>
    <col min="15113" max="15113" width="13.75" style="325" customWidth="1"/>
    <col min="15114" max="15114" width="9" style="325"/>
    <col min="15115" max="15115" width="10.5" style="325" bestFit="1" customWidth="1"/>
    <col min="15116" max="15116" width="33.25" style="325" bestFit="1" customWidth="1"/>
    <col min="15117" max="15360" width="9" style="325"/>
    <col min="15361" max="15361" width="5" style="325" customWidth="1"/>
    <col min="15362" max="15362" width="37.25" style="325" customWidth="1"/>
    <col min="15363" max="15363" width="13.75" style="325" customWidth="1"/>
    <col min="15364" max="15367" width="14.375" style="325" customWidth="1"/>
    <col min="15368" max="15368" width="12.875" style="325" customWidth="1"/>
    <col min="15369" max="15369" width="13.75" style="325" customWidth="1"/>
    <col min="15370" max="15370" width="9" style="325"/>
    <col min="15371" max="15371" width="10.5" style="325" bestFit="1" customWidth="1"/>
    <col min="15372" max="15372" width="33.25" style="325" bestFit="1" customWidth="1"/>
    <col min="15373" max="15616" width="9" style="325"/>
    <col min="15617" max="15617" width="5" style="325" customWidth="1"/>
    <col min="15618" max="15618" width="37.25" style="325" customWidth="1"/>
    <col min="15619" max="15619" width="13.75" style="325" customWidth="1"/>
    <col min="15620" max="15623" width="14.375" style="325" customWidth="1"/>
    <col min="15624" max="15624" width="12.875" style="325" customWidth="1"/>
    <col min="15625" max="15625" width="13.75" style="325" customWidth="1"/>
    <col min="15626" max="15626" width="9" style="325"/>
    <col min="15627" max="15627" width="10.5" style="325" bestFit="1" customWidth="1"/>
    <col min="15628" max="15628" width="33.25" style="325" bestFit="1" customWidth="1"/>
    <col min="15629" max="15872" width="9" style="325"/>
    <col min="15873" max="15873" width="5" style="325" customWidth="1"/>
    <col min="15874" max="15874" width="37.25" style="325" customWidth="1"/>
    <col min="15875" max="15875" width="13.75" style="325" customWidth="1"/>
    <col min="15876" max="15879" width="14.375" style="325" customWidth="1"/>
    <col min="15880" max="15880" width="12.875" style="325" customWidth="1"/>
    <col min="15881" max="15881" width="13.75" style="325" customWidth="1"/>
    <col min="15882" max="15882" width="9" style="325"/>
    <col min="15883" max="15883" width="10.5" style="325" bestFit="1" customWidth="1"/>
    <col min="15884" max="15884" width="33.25" style="325" bestFit="1" customWidth="1"/>
    <col min="15885" max="16128" width="9" style="325"/>
    <col min="16129" max="16129" width="5" style="325" customWidth="1"/>
    <col min="16130" max="16130" width="37.25" style="325" customWidth="1"/>
    <col min="16131" max="16131" width="13.75" style="325" customWidth="1"/>
    <col min="16132" max="16135" width="14.375" style="325" customWidth="1"/>
    <col min="16136" max="16136" width="12.875" style="325" customWidth="1"/>
    <col min="16137" max="16137" width="13.75" style="325" customWidth="1"/>
    <col min="16138" max="16138" width="9" style="325"/>
    <col min="16139" max="16139" width="10.5" style="325" bestFit="1" customWidth="1"/>
    <col min="16140" max="16140" width="33.25" style="325" bestFit="1" customWidth="1"/>
    <col min="16141" max="16384" width="9" style="325"/>
  </cols>
  <sheetData>
    <row r="1" spans="1:11" s="298" customFormat="1" x14ac:dyDescent="0.5">
      <c r="A1" s="496" t="s">
        <v>1913</v>
      </c>
      <c r="B1" s="496"/>
      <c r="C1" s="496"/>
      <c r="D1" s="496"/>
      <c r="E1" s="496"/>
      <c r="F1" s="496"/>
      <c r="G1" s="496"/>
      <c r="H1" s="496"/>
      <c r="I1" s="496"/>
    </row>
    <row r="2" spans="1:11" s="298" customFormat="1" x14ac:dyDescent="0.5">
      <c r="A2" s="496" t="s">
        <v>2125</v>
      </c>
      <c r="B2" s="496"/>
      <c r="C2" s="496"/>
      <c r="D2" s="496"/>
      <c r="E2" s="496"/>
      <c r="F2" s="496"/>
      <c r="G2" s="496"/>
      <c r="H2" s="496"/>
      <c r="I2" s="496"/>
    </row>
    <row r="3" spans="1:11" s="298" customFormat="1" x14ac:dyDescent="0.5">
      <c r="A3" s="496" t="s">
        <v>2262</v>
      </c>
      <c r="B3" s="496"/>
      <c r="C3" s="496"/>
      <c r="D3" s="496"/>
      <c r="E3" s="496"/>
      <c r="F3" s="496"/>
      <c r="G3" s="496"/>
      <c r="H3" s="496"/>
      <c r="I3" s="496"/>
    </row>
    <row r="4" spans="1:11" s="301" customFormat="1" ht="14.25" customHeight="1" x14ac:dyDescent="0.45">
      <c r="A4" s="299"/>
      <c r="B4" s="299"/>
      <c r="C4" s="300"/>
    </row>
    <row r="5" spans="1:11" s="303" customFormat="1" ht="42" customHeight="1" x14ac:dyDescent="0.45">
      <c r="A5" s="497" t="s">
        <v>253</v>
      </c>
      <c r="B5" s="497" t="s">
        <v>1915</v>
      </c>
      <c r="C5" s="498" t="s">
        <v>263</v>
      </c>
      <c r="D5" s="499" t="s">
        <v>2148</v>
      </c>
      <c r="E5" s="499"/>
      <c r="F5" s="499"/>
      <c r="G5" s="499"/>
      <c r="H5" s="499"/>
      <c r="I5" s="500" t="s">
        <v>256</v>
      </c>
      <c r="J5" s="302"/>
    </row>
    <row r="6" spans="1:11" s="304" customFormat="1" ht="65.25" customHeight="1" x14ac:dyDescent="0.2">
      <c r="A6" s="497"/>
      <c r="B6" s="497"/>
      <c r="C6" s="498"/>
      <c r="D6" s="503" t="s">
        <v>2239</v>
      </c>
      <c r="E6" s="504"/>
      <c r="F6" s="505" t="s">
        <v>265</v>
      </c>
      <c r="G6" s="506"/>
      <c r="H6" s="507"/>
      <c r="I6" s="501"/>
    </row>
    <row r="7" spans="1:11" s="303" customFormat="1" ht="36" customHeight="1" x14ac:dyDescent="0.45">
      <c r="A7" s="497"/>
      <c r="B7" s="497"/>
      <c r="C7" s="498"/>
      <c r="D7" s="305" t="s">
        <v>1916</v>
      </c>
      <c r="E7" s="305" t="s">
        <v>1917</v>
      </c>
      <c r="F7" s="306" t="s">
        <v>1916</v>
      </c>
      <c r="G7" s="306" t="s">
        <v>1917</v>
      </c>
      <c r="H7" s="306" t="s">
        <v>1918</v>
      </c>
      <c r="I7" s="502"/>
      <c r="J7" s="302"/>
    </row>
    <row r="8" spans="1:11" s="310" customFormat="1" ht="20.25" customHeight="1" x14ac:dyDescent="0.2">
      <c r="A8" s="307">
        <v>1</v>
      </c>
      <c r="B8" s="308" t="s">
        <v>739</v>
      </c>
      <c r="C8" s="309">
        <v>3208160</v>
      </c>
      <c r="D8" s="309">
        <v>0</v>
      </c>
      <c r="E8" s="309">
        <v>0</v>
      </c>
      <c r="F8" s="309">
        <v>22150</v>
      </c>
      <c r="G8" s="309">
        <v>22150</v>
      </c>
      <c r="H8" s="309">
        <v>0</v>
      </c>
      <c r="I8" s="309">
        <v>3163860</v>
      </c>
      <c r="K8" s="380"/>
    </row>
    <row r="9" spans="1:11" s="313" customFormat="1" ht="20.25" customHeight="1" x14ac:dyDescent="0.2">
      <c r="A9" s="311">
        <v>2</v>
      </c>
      <c r="B9" s="308" t="s">
        <v>360</v>
      </c>
      <c r="C9" s="312">
        <v>245100</v>
      </c>
      <c r="D9" s="312">
        <v>0</v>
      </c>
      <c r="E9" s="312">
        <v>0</v>
      </c>
      <c r="F9" s="312">
        <v>19608</v>
      </c>
      <c r="G9" s="312">
        <v>19608</v>
      </c>
      <c r="H9" s="312">
        <v>0</v>
      </c>
      <c r="I9" s="309">
        <v>205884</v>
      </c>
      <c r="K9" s="381"/>
    </row>
    <row r="10" spans="1:11" s="313" customFormat="1" ht="20.25" customHeight="1" x14ac:dyDescent="0.2">
      <c r="A10" s="307">
        <v>3</v>
      </c>
      <c r="B10" s="308" t="s">
        <v>2126</v>
      </c>
      <c r="C10" s="312">
        <v>171000</v>
      </c>
      <c r="D10" s="312">
        <v>0</v>
      </c>
      <c r="E10" s="312">
        <v>0</v>
      </c>
      <c r="F10" s="312">
        <v>8550</v>
      </c>
      <c r="G10" s="312">
        <v>8550</v>
      </c>
      <c r="H10" s="312">
        <v>0</v>
      </c>
      <c r="I10" s="309">
        <v>153900</v>
      </c>
      <c r="K10" s="381"/>
    </row>
    <row r="11" spans="1:11" s="317" customFormat="1" ht="20.25" customHeight="1" x14ac:dyDescent="0.2">
      <c r="A11" s="311">
        <v>4</v>
      </c>
      <c r="B11" s="315" t="s">
        <v>1693</v>
      </c>
      <c r="C11" s="316">
        <v>8037163.7300000004</v>
      </c>
      <c r="D11" s="316">
        <v>231874.92</v>
      </c>
      <c r="E11" s="316">
        <v>231874.92</v>
      </c>
      <c r="F11" s="316">
        <v>48978.15</v>
      </c>
      <c r="G11" s="316">
        <v>48978.15</v>
      </c>
      <c r="H11" s="316">
        <v>0</v>
      </c>
      <c r="I11" s="309">
        <v>7475457.5899999999</v>
      </c>
      <c r="K11" s="382"/>
    </row>
    <row r="12" spans="1:11" s="313" customFormat="1" ht="20.25" customHeight="1" x14ac:dyDescent="0.2">
      <c r="A12" s="307">
        <v>5</v>
      </c>
      <c r="B12" s="308" t="s">
        <v>512</v>
      </c>
      <c r="C12" s="312">
        <v>5051998</v>
      </c>
      <c r="D12" s="312">
        <v>4500</v>
      </c>
      <c r="E12" s="312">
        <v>4500</v>
      </c>
      <c r="F12" s="312">
        <v>180999</v>
      </c>
      <c r="G12" s="312">
        <v>180999</v>
      </c>
      <c r="H12" s="312">
        <v>0</v>
      </c>
      <c r="I12" s="309">
        <v>4681000</v>
      </c>
      <c r="K12" s="381"/>
    </row>
    <row r="13" spans="1:11" s="313" customFormat="1" ht="20.25" customHeight="1" x14ac:dyDescent="0.2">
      <c r="A13" s="311">
        <v>6</v>
      </c>
      <c r="B13" s="308" t="s">
        <v>22</v>
      </c>
      <c r="C13" s="312">
        <v>7753609</v>
      </c>
      <c r="D13" s="312">
        <v>75942.5</v>
      </c>
      <c r="E13" s="312">
        <v>75942.5</v>
      </c>
      <c r="F13" s="312">
        <v>26227.5</v>
      </c>
      <c r="G13" s="312">
        <v>26227.5</v>
      </c>
      <c r="H13" s="312">
        <v>0</v>
      </c>
      <c r="I13" s="309">
        <v>7549269</v>
      </c>
      <c r="K13" s="381"/>
    </row>
    <row r="14" spans="1:11" s="313" customFormat="1" ht="20.25" customHeight="1" x14ac:dyDescent="0.2">
      <c r="A14" s="307">
        <v>7</v>
      </c>
      <c r="B14" s="308" t="s">
        <v>1229</v>
      </c>
      <c r="C14" s="312">
        <v>1525679</v>
      </c>
      <c r="D14" s="312">
        <v>0</v>
      </c>
      <c r="E14" s="312">
        <v>0</v>
      </c>
      <c r="F14" s="312">
        <v>8407.5</v>
      </c>
      <c r="G14" s="312">
        <v>8407.5</v>
      </c>
      <c r="H14" s="312">
        <v>0</v>
      </c>
      <c r="I14" s="309">
        <v>1508864</v>
      </c>
      <c r="K14" s="381"/>
    </row>
    <row r="15" spans="1:11" s="317" customFormat="1" ht="20.25" customHeight="1" x14ac:dyDescent="0.2">
      <c r="A15" s="311">
        <v>8</v>
      </c>
      <c r="B15" s="315" t="s">
        <v>308</v>
      </c>
      <c r="C15" s="316">
        <v>662200</v>
      </c>
      <c r="D15" s="316">
        <v>0</v>
      </c>
      <c r="E15" s="316">
        <v>0</v>
      </c>
      <c r="F15" s="316">
        <v>4895</v>
      </c>
      <c r="G15" s="316">
        <v>4895</v>
      </c>
      <c r="H15" s="316">
        <v>0</v>
      </c>
      <c r="I15" s="309">
        <v>652410</v>
      </c>
      <c r="K15" s="382"/>
    </row>
    <row r="16" spans="1:11" s="313" customFormat="1" ht="20.25" customHeight="1" x14ac:dyDescent="0.2">
      <c r="A16" s="307">
        <v>9</v>
      </c>
      <c r="B16" s="308" t="s">
        <v>19</v>
      </c>
      <c r="C16" s="312">
        <v>2444000</v>
      </c>
      <c r="D16" s="312">
        <v>24200</v>
      </c>
      <c r="E16" s="312">
        <v>24200</v>
      </c>
      <c r="F16" s="312">
        <v>8550</v>
      </c>
      <c r="G16" s="312">
        <v>8550</v>
      </c>
      <c r="H16" s="312">
        <v>0</v>
      </c>
      <c r="I16" s="309">
        <v>2378500</v>
      </c>
      <c r="K16" s="381"/>
    </row>
    <row r="17" spans="1:11" s="313" customFormat="1" ht="20.25" customHeight="1" x14ac:dyDescent="0.2">
      <c r="A17" s="311">
        <v>10</v>
      </c>
      <c r="B17" s="308" t="s">
        <v>1067</v>
      </c>
      <c r="C17" s="312">
        <v>4988510</v>
      </c>
      <c r="D17" s="312">
        <v>247370</v>
      </c>
      <c r="E17" s="312">
        <v>247370</v>
      </c>
      <c r="F17" s="312">
        <v>5700</v>
      </c>
      <c r="G17" s="312">
        <v>5700</v>
      </c>
      <c r="H17" s="312">
        <v>0</v>
      </c>
      <c r="I17" s="309">
        <v>4482370</v>
      </c>
      <c r="K17" s="381"/>
    </row>
    <row r="18" spans="1:11" s="317" customFormat="1" ht="20.25" customHeight="1" x14ac:dyDescent="0.2">
      <c r="A18" s="307">
        <v>11</v>
      </c>
      <c r="B18" s="315" t="s">
        <v>2209</v>
      </c>
      <c r="C18" s="316">
        <v>1822112.8199999998</v>
      </c>
      <c r="D18" s="316">
        <v>0</v>
      </c>
      <c r="E18" s="316">
        <v>0</v>
      </c>
      <c r="F18" s="316">
        <v>51506.909999999996</v>
      </c>
      <c r="G18" s="316">
        <v>51506.909999999996</v>
      </c>
      <c r="H18" s="316">
        <v>0</v>
      </c>
      <c r="I18" s="309">
        <v>1719099</v>
      </c>
      <c r="K18" s="382"/>
    </row>
    <row r="19" spans="1:11" s="317" customFormat="1" ht="20.25" customHeight="1" x14ac:dyDescent="0.2">
      <c r="A19" s="307">
        <v>12</v>
      </c>
      <c r="B19" s="315" t="s">
        <v>2263</v>
      </c>
      <c r="C19" s="316">
        <v>7175934.3900000006</v>
      </c>
      <c r="D19" s="316">
        <v>40000</v>
      </c>
      <c r="E19" s="316">
        <v>40000</v>
      </c>
      <c r="F19" s="316">
        <v>569500</v>
      </c>
      <c r="G19" s="316">
        <v>569500</v>
      </c>
      <c r="H19" s="316">
        <v>0</v>
      </c>
      <c r="I19" s="309">
        <v>5956934.3900000006</v>
      </c>
      <c r="K19" s="382"/>
    </row>
    <row r="20" spans="1:11" s="313" customFormat="1" ht="20.25" customHeight="1" x14ac:dyDescent="0.2">
      <c r="A20" s="311">
        <v>13</v>
      </c>
      <c r="B20" s="308" t="s">
        <v>923</v>
      </c>
      <c r="C20" s="312">
        <v>850473.5</v>
      </c>
      <c r="D20" s="312">
        <v>0</v>
      </c>
      <c r="E20" s="312">
        <v>0</v>
      </c>
      <c r="F20" s="312">
        <v>8909.25</v>
      </c>
      <c r="G20" s="312">
        <v>8909.25</v>
      </c>
      <c r="H20" s="312">
        <v>0</v>
      </c>
      <c r="I20" s="309">
        <v>832655</v>
      </c>
      <c r="K20" s="381"/>
    </row>
    <row r="21" spans="1:11" s="313" customFormat="1" ht="20.25" customHeight="1" x14ac:dyDescent="0.2">
      <c r="A21" s="307">
        <v>14</v>
      </c>
      <c r="B21" s="308" t="s">
        <v>283</v>
      </c>
      <c r="C21" s="312">
        <v>672000</v>
      </c>
      <c r="D21" s="312">
        <v>0</v>
      </c>
      <c r="E21" s="312">
        <v>0</v>
      </c>
      <c r="F21" s="312">
        <v>0</v>
      </c>
      <c r="G21" s="312">
        <v>0</v>
      </c>
      <c r="H21" s="312">
        <v>0</v>
      </c>
      <c r="I21" s="309">
        <v>672000</v>
      </c>
      <c r="K21" s="381"/>
    </row>
    <row r="22" spans="1:11" s="317" customFormat="1" ht="20.25" customHeight="1" x14ac:dyDescent="0.2">
      <c r="A22" s="311">
        <v>15</v>
      </c>
      <c r="B22" s="315" t="s">
        <v>2149</v>
      </c>
      <c r="C22" s="316">
        <v>1322200</v>
      </c>
      <c r="D22" s="316">
        <v>15000</v>
      </c>
      <c r="E22" s="316">
        <v>15000</v>
      </c>
      <c r="F22" s="316">
        <v>0</v>
      </c>
      <c r="G22" s="316">
        <v>0</v>
      </c>
      <c r="H22" s="316">
        <v>0</v>
      </c>
      <c r="I22" s="309">
        <v>1292200</v>
      </c>
      <c r="K22" s="382"/>
    </row>
    <row r="23" spans="1:11" s="317" customFormat="1" ht="20.25" customHeight="1" x14ac:dyDescent="0.2">
      <c r="A23" s="307">
        <v>16</v>
      </c>
      <c r="B23" s="315" t="s">
        <v>2264</v>
      </c>
      <c r="C23" s="316">
        <v>500000</v>
      </c>
      <c r="D23" s="316">
        <v>0</v>
      </c>
      <c r="E23" s="316">
        <v>0</v>
      </c>
      <c r="F23" s="316">
        <v>21091</v>
      </c>
      <c r="G23" s="316">
        <v>21091</v>
      </c>
      <c r="H23" s="316">
        <v>0</v>
      </c>
      <c r="I23" s="309">
        <v>457818</v>
      </c>
      <c r="K23" s="382"/>
    </row>
    <row r="24" spans="1:11" s="317" customFormat="1" ht="20.25" customHeight="1" x14ac:dyDescent="0.2">
      <c r="A24" s="311">
        <v>17</v>
      </c>
      <c r="B24" s="315" t="s">
        <v>2150</v>
      </c>
      <c r="C24" s="316">
        <v>593950</v>
      </c>
      <c r="D24" s="316">
        <v>0</v>
      </c>
      <c r="E24" s="316">
        <v>0</v>
      </c>
      <c r="F24" s="316">
        <v>0</v>
      </c>
      <c r="G24" s="316">
        <v>0</v>
      </c>
      <c r="H24" s="316">
        <v>0</v>
      </c>
      <c r="I24" s="309">
        <v>593950</v>
      </c>
      <c r="K24" s="382"/>
    </row>
    <row r="25" spans="1:11" s="322" customFormat="1" ht="22.5" customHeight="1" thickBot="1" x14ac:dyDescent="0.5">
      <c r="A25" s="494" t="s">
        <v>1919</v>
      </c>
      <c r="B25" s="495"/>
      <c r="C25" s="318">
        <f t="shared" ref="C25:I25" si="0">SUM(C8:C24)</f>
        <v>47024090.440000005</v>
      </c>
      <c r="D25" s="319">
        <f t="shared" si="0"/>
        <v>638887.42000000004</v>
      </c>
      <c r="E25" s="319">
        <f t="shared" si="0"/>
        <v>638887.42000000004</v>
      </c>
      <c r="F25" s="320">
        <f t="shared" si="0"/>
        <v>985072.31</v>
      </c>
      <c r="G25" s="320">
        <f t="shared" si="0"/>
        <v>985072.31</v>
      </c>
      <c r="H25" s="320">
        <f t="shared" si="0"/>
        <v>0</v>
      </c>
      <c r="I25" s="321">
        <f t="shared" si="0"/>
        <v>43776170.980000004</v>
      </c>
      <c r="K25" s="383"/>
    </row>
    <row r="26" spans="1:11" ht="24" thickTop="1" x14ac:dyDescent="0.5"/>
    <row r="28" spans="1:11" x14ac:dyDescent="0.5">
      <c r="C28" s="333"/>
      <c r="D28" s="333"/>
      <c r="E28" s="333"/>
      <c r="F28" s="333"/>
      <c r="G28" s="333"/>
      <c r="H28" s="333"/>
      <c r="I28" s="333"/>
    </row>
    <row r="29" spans="1:11" x14ac:dyDescent="0.5">
      <c r="C29" s="373"/>
      <c r="D29" s="373"/>
      <c r="E29" s="373"/>
      <c r="F29" s="373"/>
      <c r="G29" s="373"/>
      <c r="H29" s="373"/>
      <c r="I29" s="373"/>
    </row>
  </sheetData>
  <mergeCells count="11">
    <mergeCell ref="A25:B25"/>
    <mergeCell ref="A1:I1"/>
    <mergeCell ref="A2:I2"/>
    <mergeCell ref="A3:I3"/>
    <mergeCell ref="A5:A7"/>
    <mergeCell ref="B5:B7"/>
    <mergeCell ref="C5:C7"/>
    <mergeCell ref="D5:H5"/>
    <mergeCell ref="I5:I7"/>
    <mergeCell ref="D6:E6"/>
    <mergeCell ref="F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zoomScale="110" zoomScaleNormal="110" workbookViewId="0">
      <selection activeCell="A2" sqref="A2:O2"/>
    </sheetView>
  </sheetViews>
  <sheetFormatPr defaultRowHeight="18.75" x14ac:dyDescent="0.4"/>
  <cols>
    <col min="1" max="1" width="4.625" style="366" customWidth="1"/>
    <col min="2" max="2" width="9.125" style="367" customWidth="1"/>
    <col min="3" max="3" width="10.625" style="329" customWidth="1"/>
    <col min="4" max="4" width="16.625" style="329" customWidth="1"/>
    <col min="5" max="5" width="22.625" style="331" customWidth="1"/>
    <col min="6" max="7" width="17.125" style="332" customWidth="1"/>
    <col min="8" max="8" width="28.125" style="332" customWidth="1"/>
    <col min="9" max="9" width="12.625" style="333" customWidth="1"/>
    <col min="10" max="13" width="11.625" style="332" customWidth="1"/>
    <col min="14" max="14" width="9.625" style="332" customWidth="1"/>
    <col min="15" max="15" width="11.625" style="384" customWidth="1"/>
    <col min="16" max="256" width="9" style="384"/>
    <col min="257" max="257" width="4.625" style="384" customWidth="1"/>
    <col min="258" max="258" width="9.125" style="384" customWidth="1"/>
    <col min="259" max="259" width="10.625" style="384" customWidth="1"/>
    <col min="260" max="260" width="16.625" style="384" customWidth="1"/>
    <col min="261" max="261" width="22.625" style="384" customWidth="1"/>
    <col min="262" max="263" width="17.125" style="384" customWidth="1"/>
    <col min="264" max="264" width="28.125" style="384" customWidth="1"/>
    <col min="265" max="265" width="12.625" style="384" customWidth="1"/>
    <col min="266" max="269" width="11.625" style="384" customWidth="1"/>
    <col min="270" max="270" width="9.625" style="384" customWidth="1"/>
    <col min="271" max="271" width="11.625" style="384" customWidth="1"/>
    <col min="272" max="512" width="9" style="384"/>
    <col min="513" max="513" width="4.625" style="384" customWidth="1"/>
    <col min="514" max="514" width="9.125" style="384" customWidth="1"/>
    <col min="515" max="515" width="10.625" style="384" customWidth="1"/>
    <col min="516" max="516" width="16.625" style="384" customWidth="1"/>
    <col min="517" max="517" width="22.625" style="384" customWidth="1"/>
    <col min="518" max="519" width="17.125" style="384" customWidth="1"/>
    <col min="520" max="520" width="28.125" style="384" customWidth="1"/>
    <col min="521" max="521" width="12.625" style="384" customWidth="1"/>
    <col min="522" max="525" width="11.625" style="384" customWidth="1"/>
    <col min="526" max="526" width="9.625" style="384" customWidth="1"/>
    <col min="527" max="527" width="11.625" style="384" customWidth="1"/>
    <col min="528" max="768" width="9" style="384"/>
    <col min="769" max="769" width="4.625" style="384" customWidth="1"/>
    <col min="770" max="770" width="9.125" style="384" customWidth="1"/>
    <col min="771" max="771" width="10.625" style="384" customWidth="1"/>
    <col min="772" max="772" width="16.625" style="384" customWidth="1"/>
    <col min="773" max="773" width="22.625" style="384" customWidth="1"/>
    <col min="774" max="775" width="17.125" style="384" customWidth="1"/>
    <col min="776" max="776" width="28.125" style="384" customWidth="1"/>
    <col min="777" max="777" width="12.625" style="384" customWidth="1"/>
    <col min="778" max="781" width="11.625" style="384" customWidth="1"/>
    <col min="782" max="782" width="9.625" style="384" customWidth="1"/>
    <col min="783" max="783" width="11.625" style="384" customWidth="1"/>
    <col min="784" max="1024" width="9" style="384"/>
    <col min="1025" max="1025" width="4.625" style="384" customWidth="1"/>
    <col min="1026" max="1026" width="9.125" style="384" customWidth="1"/>
    <col min="1027" max="1027" width="10.625" style="384" customWidth="1"/>
    <col min="1028" max="1028" width="16.625" style="384" customWidth="1"/>
    <col min="1029" max="1029" width="22.625" style="384" customWidth="1"/>
    <col min="1030" max="1031" width="17.125" style="384" customWidth="1"/>
    <col min="1032" max="1032" width="28.125" style="384" customWidth="1"/>
    <col min="1033" max="1033" width="12.625" style="384" customWidth="1"/>
    <col min="1034" max="1037" width="11.625" style="384" customWidth="1"/>
    <col min="1038" max="1038" width="9.625" style="384" customWidth="1"/>
    <col min="1039" max="1039" width="11.625" style="384" customWidth="1"/>
    <col min="1040" max="1280" width="9" style="384"/>
    <col min="1281" max="1281" width="4.625" style="384" customWidth="1"/>
    <col min="1282" max="1282" width="9.125" style="384" customWidth="1"/>
    <col min="1283" max="1283" width="10.625" style="384" customWidth="1"/>
    <col min="1284" max="1284" width="16.625" style="384" customWidth="1"/>
    <col min="1285" max="1285" width="22.625" style="384" customWidth="1"/>
    <col min="1286" max="1287" width="17.125" style="384" customWidth="1"/>
    <col min="1288" max="1288" width="28.125" style="384" customWidth="1"/>
    <col min="1289" max="1289" width="12.625" style="384" customWidth="1"/>
    <col min="1290" max="1293" width="11.625" style="384" customWidth="1"/>
    <col min="1294" max="1294" width="9.625" style="384" customWidth="1"/>
    <col min="1295" max="1295" width="11.625" style="384" customWidth="1"/>
    <col min="1296" max="1536" width="9" style="384"/>
    <col min="1537" max="1537" width="4.625" style="384" customWidth="1"/>
    <col min="1538" max="1538" width="9.125" style="384" customWidth="1"/>
    <col min="1539" max="1539" width="10.625" style="384" customWidth="1"/>
    <col min="1540" max="1540" width="16.625" style="384" customWidth="1"/>
    <col min="1541" max="1541" width="22.625" style="384" customWidth="1"/>
    <col min="1542" max="1543" width="17.125" style="384" customWidth="1"/>
    <col min="1544" max="1544" width="28.125" style="384" customWidth="1"/>
    <col min="1545" max="1545" width="12.625" style="384" customWidth="1"/>
    <col min="1546" max="1549" width="11.625" style="384" customWidth="1"/>
    <col min="1550" max="1550" width="9.625" style="384" customWidth="1"/>
    <col min="1551" max="1551" width="11.625" style="384" customWidth="1"/>
    <col min="1552" max="1792" width="9" style="384"/>
    <col min="1793" max="1793" width="4.625" style="384" customWidth="1"/>
    <col min="1794" max="1794" width="9.125" style="384" customWidth="1"/>
    <col min="1795" max="1795" width="10.625" style="384" customWidth="1"/>
    <col min="1796" max="1796" width="16.625" style="384" customWidth="1"/>
    <col min="1797" max="1797" width="22.625" style="384" customWidth="1"/>
    <col min="1798" max="1799" width="17.125" style="384" customWidth="1"/>
    <col min="1800" max="1800" width="28.125" style="384" customWidth="1"/>
    <col min="1801" max="1801" width="12.625" style="384" customWidth="1"/>
    <col min="1802" max="1805" width="11.625" style="384" customWidth="1"/>
    <col min="1806" max="1806" width="9.625" style="384" customWidth="1"/>
    <col min="1807" max="1807" width="11.625" style="384" customWidth="1"/>
    <col min="1808" max="2048" width="9" style="384"/>
    <col min="2049" max="2049" width="4.625" style="384" customWidth="1"/>
    <col min="2050" max="2050" width="9.125" style="384" customWidth="1"/>
    <col min="2051" max="2051" width="10.625" style="384" customWidth="1"/>
    <col min="2052" max="2052" width="16.625" style="384" customWidth="1"/>
    <col min="2053" max="2053" width="22.625" style="384" customWidth="1"/>
    <col min="2054" max="2055" width="17.125" style="384" customWidth="1"/>
    <col min="2056" max="2056" width="28.125" style="384" customWidth="1"/>
    <col min="2057" max="2057" width="12.625" style="384" customWidth="1"/>
    <col min="2058" max="2061" width="11.625" style="384" customWidth="1"/>
    <col min="2062" max="2062" width="9.625" style="384" customWidth="1"/>
    <col min="2063" max="2063" width="11.625" style="384" customWidth="1"/>
    <col min="2064" max="2304" width="9" style="384"/>
    <col min="2305" max="2305" width="4.625" style="384" customWidth="1"/>
    <col min="2306" max="2306" width="9.125" style="384" customWidth="1"/>
    <col min="2307" max="2307" width="10.625" style="384" customWidth="1"/>
    <col min="2308" max="2308" width="16.625" style="384" customWidth="1"/>
    <col min="2309" max="2309" width="22.625" style="384" customWidth="1"/>
    <col min="2310" max="2311" width="17.125" style="384" customWidth="1"/>
    <col min="2312" max="2312" width="28.125" style="384" customWidth="1"/>
    <col min="2313" max="2313" width="12.625" style="384" customWidth="1"/>
    <col min="2314" max="2317" width="11.625" style="384" customWidth="1"/>
    <col min="2318" max="2318" width="9.625" style="384" customWidth="1"/>
    <col min="2319" max="2319" width="11.625" style="384" customWidth="1"/>
    <col min="2320" max="2560" width="9" style="384"/>
    <col min="2561" max="2561" width="4.625" style="384" customWidth="1"/>
    <col min="2562" max="2562" width="9.125" style="384" customWidth="1"/>
    <col min="2563" max="2563" width="10.625" style="384" customWidth="1"/>
    <col min="2564" max="2564" width="16.625" style="384" customWidth="1"/>
    <col min="2565" max="2565" width="22.625" style="384" customWidth="1"/>
    <col min="2566" max="2567" width="17.125" style="384" customWidth="1"/>
    <col min="2568" max="2568" width="28.125" style="384" customWidth="1"/>
    <col min="2569" max="2569" width="12.625" style="384" customWidth="1"/>
    <col min="2570" max="2573" width="11.625" style="384" customWidth="1"/>
    <col min="2574" max="2574" width="9.625" style="384" customWidth="1"/>
    <col min="2575" max="2575" width="11.625" style="384" customWidth="1"/>
    <col min="2576" max="2816" width="9" style="384"/>
    <col min="2817" max="2817" width="4.625" style="384" customWidth="1"/>
    <col min="2818" max="2818" width="9.125" style="384" customWidth="1"/>
    <col min="2819" max="2819" width="10.625" style="384" customWidth="1"/>
    <col min="2820" max="2820" width="16.625" style="384" customWidth="1"/>
    <col min="2821" max="2821" width="22.625" style="384" customWidth="1"/>
    <col min="2822" max="2823" width="17.125" style="384" customWidth="1"/>
    <col min="2824" max="2824" width="28.125" style="384" customWidth="1"/>
    <col min="2825" max="2825" width="12.625" style="384" customWidth="1"/>
    <col min="2826" max="2829" width="11.625" style="384" customWidth="1"/>
    <col min="2830" max="2830" width="9.625" style="384" customWidth="1"/>
    <col min="2831" max="2831" width="11.625" style="384" customWidth="1"/>
    <col min="2832" max="3072" width="9" style="384"/>
    <col min="3073" max="3073" width="4.625" style="384" customWidth="1"/>
    <col min="3074" max="3074" width="9.125" style="384" customWidth="1"/>
    <col min="3075" max="3075" width="10.625" style="384" customWidth="1"/>
    <col min="3076" max="3076" width="16.625" style="384" customWidth="1"/>
    <col min="3077" max="3077" width="22.625" style="384" customWidth="1"/>
    <col min="3078" max="3079" width="17.125" style="384" customWidth="1"/>
    <col min="3080" max="3080" width="28.125" style="384" customWidth="1"/>
    <col min="3081" max="3081" width="12.625" style="384" customWidth="1"/>
    <col min="3082" max="3085" width="11.625" style="384" customWidth="1"/>
    <col min="3086" max="3086" width="9.625" style="384" customWidth="1"/>
    <col min="3087" max="3087" width="11.625" style="384" customWidth="1"/>
    <col min="3088" max="3328" width="9" style="384"/>
    <col min="3329" max="3329" width="4.625" style="384" customWidth="1"/>
    <col min="3330" max="3330" width="9.125" style="384" customWidth="1"/>
    <col min="3331" max="3331" width="10.625" style="384" customWidth="1"/>
    <col min="3332" max="3332" width="16.625" style="384" customWidth="1"/>
    <col min="3333" max="3333" width="22.625" style="384" customWidth="1"/>
    <col min="3334" max="3335" width="17.125" style="384" customWidth="1"/>
    <col min="3336" max="3336" width="28.125" style="384" customWidth="1"/>
    <col min="3337" max="3337" width="12.625" style="384" customWidth="1"/>
    <col min="3338" max="3341" width="11.625" style="384" customWidth="1"/>
    <col min="3342" max="3342" width="9.625" style="384" customWidth="1"/>
    <col min="3343" max="3343" width="11.625" style="384" customWidth="1"/>
    <col min="3344" max="3584" width="9" style="384"/>
    <col min="3585" max="3585" width="4.625" style="384" customWidth="1"/>
    <col min="3586" max="3586" width="9.125" style="384" customWidth="1"/>
    <col min="3587" max="3587" width="10.625" style="384" customWidth="1"/>
    <col min="3588" max="3588" width="16.625" style="384" customWidth="1"/>
    <col min="3589" max="3589" width="22.625" style="384" customWidth="1"/>
    <col min="3590" max="3591" width="17.125" style="384" customWidth="1"/>
    <col min="3592" max="3592" width="28.125" style="384" customWidth="1"/>
    <col min="3593" max="3593" width="12.625" style="384" customWidth="1"/>
    <col min="3594" max="3597" width="11.625" style="384" customWidth="1"/>
    <col min="3598" max="3598" width="9.625" style="384" customWidth="1"/>
    <col min="3599" max="3599" width="11.625" style="384" customWidth="1"/>
    <col min="3600" max="3840" width="9" style="384"/>
    <col min="3841" max="3841" width="4.625" style="384" customWidth="1"/>
    <col min="3842" max="3842" width="9.125" style="384" customWidth="1"/>
    <col min="3843" max="3843" width="10.625" style="384" customWidth="1"/>
    <col min="3844" max="3844" width="16.625" style="384" customWidth="1"/>
    <col min="3845" max="3845" width="22.625" style="384" customWidth="1"/>
    <col min="3846" max="3847" width="17.125" style="384" customWidth="1"/>
    <col min="3848" max="3848" width="28.125" style="384" customWidth="1"/>
    <col min="3849" max="3849" width="12.625" style="384" customWidth="1"/>
    <col min="3850" max="3853" width="11.625" style="384" customWidth="1"/>
    <col min="3854" max="3854" width="9.625" style="384" customWidth="1"/>
    <col min="3855" max="3855" width="11.625" style="384" customWidth="1"/>
    <col min="3856" max="4096" width="9" style="384"/>
    <col min="4097" max="4097" width="4.625" style="384" customWidth="1"/>
    <col min="4098" max="4098" width="9.125" style="384" customWidth="1"/>
    <col min="4099" max="4099" width="10.625" style="384" customWidth="1"/>
    <col min="4100" max="4100" width="16.625" style="384" customWidth="1"/>
    <col min="4101" max="4101" width="22.625" style="384" customWidth="1"/>
    <col min="4102" max="4103" width="17.125" style="384" customWidth="1"/>
    <col min="4104" max="4104" width="28.125" style="384" customWidth="1"/>
    <col min="4105" max="4105" width="12.625" style="384" customWidth="1"/>
    <col min="4106" max="4109" width="11.625" style="384" customWidth="1"/>
    <col min="4110" max="4110" width="9.625" style="384" customWidth="1"/>
    <col min="4111" max="4111" width="11.625" style="384" customWidth="1"/>
    <col min="4112" max="4352" width="9" style="384"/>
    <col min="4353" max="4353" width="4.625" style="384" customWidth="1"/>
    <col min="4354" max="4354" width="9.125" style="384" customWidth="1"/>
    <col min="4355" max="4355" width="10.625" style="384" customWidth="1"/>
    <col min="4356" max="4356" width="16.625" style="384" customWidth="1"/>
    <col min="4357" max="4357" width="22.625" style="384" customWidth="1"/>
    <col min="4358" max="4359" width="17.125" style="384" customWidth="1"/>
    <col min="4360" max="4360" width="28.125" style="384" customWidth="1"/>
    <col min="4361" max="4361" width="12.625" style="384" customWidth="1"/>
    <col min="4362" max="4365" width="11.625" style="384" customWidth="1"/>
    <col min="4366" max="4366" width="9.625" style="384" customWidth="1"/>
    <col min="4367" max="4367" width="11.625" style="384" customWidth="1"/>
    <col min="4368" max="4608" width="9" style="384"/>
    <col min="4609" max="4609" width="4.625" style="384" customWidth="1"/>
    <col min="4610" max="4610" width="9.125" style="384" customWidth="1"/>
    <col min="4611" max="4611" width="10.625" style="384" customWidth="1"/>
    <col min="4612" max="4612" width="16.625" style="384" customWidth="1"/>
    <col min="4613" max="4613" width="22.625" style="384" customWidth="1"/>
    <col min="4614" max="4615" width="17.125" style="384" customWidth="1"/>
    <col min="4616" max="4616" width="28.125" style="384" customWidth="1"/>
    <col min="4617" max="4617" width="12.625" style="384" customWidth="1"/>
    <col min="4618" max="4621" width="11.625" style="384" customWidth="1"/>
    <col min="4622" max="4622" width="9.625" style="384" customWidth="1"/>
    <col min="4623" max="4623" width="11.625" style="384" customWidth="1"/>
    <col min="4624" max="4864" width="9" style="384"/>
    <col min="4865" max="4865" width="4.625" style="384" customWidth="1"/>
    <col min="4866" max="4866" width="9.125" style="384" customWidth="1"/>
    <col min="4867" max="4867" width="10.625" style="384" customWidth="1"/>
    <col min="4868" max="4868" width="16.625" style="384" customWidth="1"/>
    <col min="4869" max="4869" width="22.625" style="384" customWidth="1"/>
    <col min="4870" max="4871" width="17.125" style="384" customWidth="1"/>
    <col min="4872" max="4872" width="28.125" style="384" customWidth="1"/>
    <col min="4873" max="4873" width="12.625" style="384" customWidth="1"/>
    <col min="4874" max="4877" width="11.625" style="384" customWidth="1"/>
    <col min="4878" max="4878" width="9.625" style="384" customWidth="1"/>
    <col min="4879" max="4879" width="11.625" style="384" customWidth="1"/>
    <col min="4880" max="5120" width="9" style="384"/>
    <col min="5121" max="5121" width="4.625" style="384" customWidth="1"/>
    <col min="5122" max="5122" width="9.125" style="384" customWidth="1"/>
    <col min="5123" max="5123" width="10.625" style="384" customWidth="1"/>
    <col min="5124" max="5124" width="16.625" style="384" customWidth="1"/>
    <col min="5125" max="5125" width="22.625" style="384" customWidth="1"/>
    <col min="5126" max="5127" width="17.125" style="384" customWidth="1"/>
    <col min="5128" max="5128" width="28.125" style="384" customWidth="1"/>
    <col min="5129" max="5129" width="12.625" style="384" customWidth="1"/>
    <col min="5130" max="5133" width="11.625" style="384" customWidth="1"/>
    <col min="5134" max="5134" width="9.625" style="384" customWidth="1"/>
    <col min="5135" max="5135" width="11.625" style="384" customWidth="1"/>
    <col min="5136" max="5376" width="9" style="384"/>
    <col min="5377" max="5377" width="4.625" style="384" customWidth="1"/>
    <col min="5378" max="5378" width="9.125" style="384" customWidth="1"/>
    <col min="5379" max="5379" width="10.625" style="384" customWidth="1"/>
    <col min="5380" max="5380" width="16.625" style="384" customWidth="1"/>
    <col min="5381" max="5381" width="22.625" style="384" customWidth="1"/>
    <col min="5382" max="5383" width="17.125" style="384" customWidth="1"/>
    <col min="5384" max="5384" width="28.125" style="384" customWidth="1"/>
    <col min="5385" max="5385" width="12.625" style="384" customWidth="1"/>
    <col min="5386" max="5389" width="11.625" style="384" customWidth="1"/>
    <col min="5390" max="5390" width="9.625" style="384" customWidth="1"/>
    <col min="5391" max="5391" width="11.625" style="384" customWidth="1"/>
    <col min="5392" max="5632" width="9" style="384"/>
    <col min="5633" max="5633" width="4.625" style="384" customWidth="1"/>
    <col min="5634" max="5634" width="9.125" style="384" customWidth="1"/>
    <col min="5635" max="5635" width="10.625" style="384" customWidth="1"/>
    <col min="5636" max="5636" width="16.625" style="384" customWidth="1"/>
    <col min="5637" max="5637" width="22.625" style="384" customWidth="1"/>
    <col min="5638" max="5639" width="17.125" style="384" customWidth="1"/>
    <col min="5640" max="5640" width="28.125" style="384" customWidth="1"/>
    <col min="5641" max="5641" width="12.625" style="384" customWidth="1"/>
    <col min="5642" max="5645" width="11.625" style="384" customWidth="1"/>
    <col min="5646" max="5646" width="9.625" style="384" customWidth="1"/>
    <col min="5647" max="5647" width="11.625" style="384" customWidth="1"/>
    <col min="5648" max="5888" width="9" style="384"/>
    <col min="5889" max="5889" width="4.625" style="384" customWidth="1"/>
    <col min="5890" max="5890" width="9.125" style="384" customWidth="1"/>
    <col min="5891" max="5891" width="10.625" style="384" customWidth="1"/>
    <col min="5892" max="5892" width="16.625" style="384" customWidth="1"/>
    <col min="5893" max="5893" width="22.625" style="384" customWidth="1"/>
    <col min="5894" max="5895" width="17.125" style="384" customWidth="1"/>
    <col min="5896" max="5896" width="28.125" style="384" customWidth="1"/>
    <col min="5897" max="5897" width="12.625" style="384" customWidth="1"/>
    <col min="5898" max="5901" width="11.625" style="384" customWidth="1"/>
    <col min="5902" max="5902" width="9.625" style="384" customWidth="1"/>
    <col min="5903" max="5903" width="11.625" style="384" customWidth="1"/>
    <col min="5904" max="6144" width="9" style="384"/>
    <col min="6145" max="6145" width="4.625" style="384" customWidth="1"/>
    <col min="6146" max="6146" width="9.125" style="384" customWidth="1"/>
    <col min="6147" max="6147" width="10.625" style="384" customWidth="1"/>
    <col min="6148" max="6148" width="16.625" style="384" customWidth="1"/>
    <col min="6149" max="6149" width="22.625" style="384" customWidth="1"/>
    <col min="6150" max="6151" width="17.125" style="384" customWidth="1"/>
    <col min="6152" max="6152" width="28.125" style="384" customWidth="1"/>
    <col min="6153" max="6153" width="12.625" style="384" customWidth="1"/>
    <col min="6154" max="6157" width="11.625" style="384" customWidth="1"/>
    <col min="6158" max="6158" width="9.625" style="384" customWidth="1"/>
    <col min="6159" max="6159" width="11.625" style="384" customWidth="1"/>
    <col min="6160" max="6400" width="9" style="384"/>
    <col min="6401" max="6401" width="4.625" style="384" customWidth="1"/>
    <col min="6402" max="6402" width="9.125" style="384" customWidth="1"/>
    <col min="6403" max="6403" width="10.625" style="384" customWidth="1"/>
    <col min="6404" max="6404" width="16.625" style="384" customWidth="1"/>
    <col min="6405" max="6405" width="22.625" style="384" customWidth="1"/>
    <col min="6406" max="6407" width="17.125" style="384" customWidth="1"/>
    <col min="6408" max="6408" width="28.125" style="384" customWidth="1"/>
    <col min="6409" max="6409" width="12.625" style="384" customWidth="1"/>
    <col min="6410" max="6413" width="11.625" style="384" customWidth="1"/>
    <col min="6414" max="6414" width="9.625" style="384" customWidth="1"/>
    <col min="6415" max="6415" width="11.625" style="384" customWidth="1"/>
    <col min="6416" max="6656" width="9" style="384"/>
    <col min="6657" max="6657" width="4.625" style="384" customWidth="1"/>
    <col min="6658" max="6658" width="9.125" style="384" customWidth="1"/>
    <col min="6659" max="6659" width="10.625" style="384" customWidth="1"/>
    <col min="6660" max="6660" width="16.625" style="384" customWidth="1"/>
    <col min="6661" max="6661" width="22.625" style="384" customWidth="1"/>
    <col min="6662" max="6663" width="17.125" style="384" customWidth="1"/>
    <col min="6664" max="6664" width="28.125" style="384" customWidth="1"/>
    <col min="6665" max="6665" width="12.625" style="384" customWidth="1"/>
    <col min="6666" max="6669" width="11.625" style="384" customWidth="1"/>
    <col min="6670" max="6670" width="9.625" style="384" customWidth="1"/>
    <col min="6671" max="6671" width="11.625" style="384" customWidth="1"/>
    <col min="6672" max="6912" width="9" style="384"/>
    <col min="6913" max="6913" width="4.625" style="384" customWidth="1"/>
    <col min="6914" max="6914" width="9.125" style="384" customWidth="1"/>
    <col min="6915" max="6915" width="10.625" style="384" customWidth="1"/>
    <col min="6916" max="6916" width="16.625" style="384" customWidth="1"/>
    <col min="6917" max="6917" width="22.625" style="384" customWidth="1"/>
    <col min="6918" max="6919" width="17.125" style="384" customWidth="1"/>
    <col min="6920" max="6920" width="28.125" style="384" customWidth="1"/>
    <col min="6921" max="6921" width="12.625" style="384" customWidth="1"/>
    <col min="6922" max="6925" width="11.625" style="384" customWidth="1"/>
    <col min="6926" max="6926" width="9.625" style="384" customWidth="1"/>
    <col min="6927" max="6927" width="11.625" style="384" customWidth="1"/>
    <col min="6928" max="7168" width="9" style="384"/>
    <col min="7169" max="7169" width="4.625" style="384" customWidth="1"/>
    <col min="7170" max="7170" width="9.125" style="384" customWidth="1"/>
    <col min="7171" max="7171" width="10.625" style="384" customWidth="1"/>
    <col min="7172" max="7172" width="16.625" style="384" customWidth="1"/>
    <col min="7173" max="7173" width="22.625" style="384" customWidth="1"/>
    <col min="7174" max="7175" width="17.125" style="384" customWidth="1"/>
    <col min="7176" max="7176" width="28.125" style="384" customWidth="1"/>
    <col min="7177" max="7177" width="12.625" style="384" customWidth="1"/>
    <col min="7178" max="7181" width="11.625" style="384" customWidth="1"/>
    <col min="7182" max="7182" width="9.625" style="384" customWidth="1"/>
    <col min="7183" max="7183" width="11.625" style="384" customWidth="1"/>
    <col min="7184" max="7424" width="9" style="384"/>
    <col min="7425" max="7425" width="4.625" style="384" customWidth="1"/>
    <col min="7426" max="7426" width="9.125" style="384" customWidth="1"/>
    <col min="7427" max="7427" width="10.625" style="384" customWidth="1"/>
    <col min="7428" max="7428" width="16.625" style="384" customWidth="1"/>
    <col min="7429" max="7429" width="22.625" style="384" customWidth="1"/>
    <col min="7430" max="7431" width="17.125" style="384" customWidth="1"/>
    <col min="7432" max="7432" width="28.125" style="384" customWidth="1"/>
    <col min="7433" max="7433" width="12.625" style="384" customWidth="1"/>
    <col min="7434" max="7437" width="11.625" style="384" customWidth="1"/>
    <col min="7438" max="7438" width="9.625" style="384" customWidth="1"/>
    <col min="7439" max="7439" width="11.625" style="384" customWidth="1"/>
    <col min="7440" max="7680" width="9" style="384"/>
    <col min="7681" max="7681" width="4.625" style="384" customWidth="1"/>
    <col min="7682" max="7682" width="9.125" style="384" customWidth="1"/>
    <col min="7683" max="7683" width="10.625" style="384" customWidth="1"/>
    <col min="7684" max="7684" width="16.625" style="384" customWidth="1"/>
    <col min="7685" max="7685" width="22.625" style="384" customWidth="1"/>
    <col min="7686" max="7687" width="17.125" style="384" customWidth="1"/>
    <col min="7688" max="7688" width="28.125" style="384" customWidth="1"/>
    <col min="7689" max="7689" width="12.625" style="384" customWidth="1"/>
    <col min="7690" max="7693" width="11.625" style="384" customWidth="1"/>
    <col min="7694" max="7694" width="9.625" style="384" customWidth="1"/>
    <col min="7695" max="7695" width="11.625" style="384" customWidth="1"/>
    <col min="7696" max="7936" width="9" style="384"/>
    <col min="7937" max="7937" width="4.625" style="384" customWidth="1"/>
    <col min="7938" max="7938" width="9.125" style="384" customWidth="1"/>
    <col min="7939" max="7939" width="10.625" style="384" customWidth="1"/>
    <col min="7940" max="7940" width="16.625" style="384" customWidth="1"/>
    <col min="7941" max="7941" width="22.625" style="384" customWidth="1"/>
    <col min="7942" max="7943" width="17.125" style="384" customWidth="1"/>
    <col min="7944" max="7944" width="28.125" style="384" customWidth="1"/>
    <col min="7945" max="7945" width="12.625" style="384" customWidth="1"/>
    <col min="7946" max="7949" width="11.625" style="384" customWidth="1"/>
    <col min="7950" max="7950" width="9.625" style="384" customWidth="1"/>
    <col min="7951" max="7951" width="11.625" style="384" customWidth="1"/>
    <col min="7952" max="8192" width="9" style="384"/>
    <col min="8193" max="8193" width="4.625" style="384" customWidth="1"/>
    <col min="8194" max="8194" width="9.125" style="384" customWidth="1"/>
    <col min="8195" max="8195" width="10.625" style="384" customWidth="1"/>
    <col min="8196" max="8196" width="16.625" style="384" customWidth="1"/>
    <col min="8197" max="8197" width="22.625" style="384" customWidth="1"/>
    <col min="8198" max="8199" width="17.125" style="384" customWidth="1"/>
    <col min="8200" max="8200" width="28.125" style="384" customWidth="1"/>
    <col min="8201" max="8201" width="12.625" style="384" customWidth="1"/>
    <col min="8202" max="8205" width="11.625" style="384" customWidth="1"/>
    <col min="8206" max="8206" width="9.625" style="384" customWidth="1"/>
    <col min="8207" max="8207" width="11.625" style="384" customWidth="1"/>
    <col min="8208" max="8448" width="9" style="384"/>
    <col min="8449" max="8449" width="4.625" style="384" customWidth="1"/>
    <col min="8450" max="8450" width="9.125" style="384" customWidth="1"/>
    <col min="8451" max="8451" width="10.625" style="384" customWidth="1"/>
    <col min="8452" max="8452" width="16.625" style="384" customWidth="1"/>
    <col min="8453" max="8453" width="22.625" style="384" customWidth="1"/>
    <col min="8454" max="8455" width="17.125" style="384" customWidth="1"/>
    <col min="8456" max="8456" width="28.125" style="384" customWidth="1"/>
    <col min="8457" max="8457" width="12.625" style="384" customWidth="1"/>
    <col min="8458" max="8461" width="11.625" style="384" customWidth="1"/>
    <col min="8462" max="8462" width="9.625" style="384" customWidth="1"/>
    <col min="8463" max="8463" width="11.625" style="384" customWidth="1"/>
    <col min="8464" max="8704" width="9" style="384"/>
    <col min="8705" max="8705" width="4.625" style="384" customWidth="1"/>
    <col min="8706" max="8706" width="9.125" style="384" customWidth="1"/>
    <col min="8707" max="8707" width="10.625" style="384" customWidth="1"/>
    <col min="8708" max="8708" width="16.625" style="384" customWidth="1"/>
    <col min="8709" max="8709" width="22.625" style="384" customWidth="1"/>
    <col min="8710" max="8711" width="17.125" style="384" customWidth="1"/>
    <col min="8712" max="8712" width="28.125" style="384" customWidth="1"/>
    <col min="8713" max="8713" width="12.625" style="384" customWidth="1"/>
    <col min="8714" max="8717" width="11.625" style="384" customWidth="1"/>
    <col min="8718" max="8718" width="9.625" style="384" customWidth="1"/>
    <col min="8719" max="8719" width="11.625" style="384" customWidth="1"/>
    <col min="8720" max="8960" width="9" style="384"/>
    <col min="8961" max="8961" width="4.625" style="384" customWidth="1"/>
    <col min="8962" max="8962" width="9.125" style="384" customWidth="1"/>
    <col min="8963" max="8963" width="10.625" style="384" customWidth="1"/>
    <col min="8964" max="8964" width="16.625" style="384" customWidth="1"/>
    <col min="8965" max="8965" width="22.625" style="384" customWidth="1"/>
    <col min="8966" max="8967" width="17.125" style="384" customWidth="1"/>
    <col min="8968" max="8968" width="28.125" style="384" customWidth="1"/>
    <col min="8969" max="8969" width="12.625" style="384" customWidth="1"/>
    <col min="8970" max="8973" width="11.625" style="384" customWidth="1"/>
    <col min="8974" max="8974" width="9.625" style="384" customWidth="1"/>
    <col min="8975" max="8975" width="11.625" style="384" customWidth="1"/>
    <col min="8976" max="9216" width="9" style="384"/>
    <col min="9217" max="9217" width="4.625" style="384" customWidth="1"/>
    <col min="9218" max="9218" width="9.125" style="384" customWidth="1"/>
    <col min="9219" max="9219" width="10.625" style="384" customWidth="1"/>
    <col min="9220" max="9220" width="16.625" style="384" customWidth="1"/>
    <col min="9221" max="9221" width="22.625" style="384" customWidth="1"/>
    <col min="9222" max="9223" width="17.125" style="384" customWidth="1"/>
    <col min="9224" max="9224" width="28.125" style="384" customWidth="1"/>
    <col min="9225" max="9225" width="12.625" style="384" customWidth="1"/>
    <col min="9226" max="9229" width="11.625" style="384" customWidth="1"/>
    <col min="9230" max="9230" width="9.625" style="384" customWidth="1"/>
    <col min="9231" max="9231" width="11.625" style="384" customWidth="1"/>
    <col min="9232" max="9472" width="9" style="384"/>
    <col min="9473" max="9473" width="4.625" style="384" customWidth="1"/>
    <col min="9474" max="9474" width="9.125" style="384" customWidth="1"/>
    <col min="9475" max="9475" width="10.625" style="384" customWidth="1"/>
    <col min="9476" max="9476" width="16.625" style="384" customWidth="1"/>
    <col min="9477" max="9477" width="22.625" style="384" customWidth="1"/>
    <col min="9478" max="9479" width="17.125" style="384" customWidth="1"/>
    <col min="9480" max="9480" width="28.125" style="384" customWidth="1"/>
    <col min="9481" max="9481" width="12.625" style="384" customWidth="1"/>
    <col min="9482" max="9485" width="11.625" style="384" customWidth="1"/>
    <col min="9486" max="9486" width="9.625" style="384" customWidth="1"/>
    <col min="9487" max="9487" width="11.625" style="384" customWidth="1"/>
    <col min="9488" max="9728" width="9" style="384"/>
    <col min="9729" max="9729" width="4.625" style="384" customWidth="1"/>
    <col min="9730" max="9730" width="9.125" style="384" customWidth="1"/>
    <col min="9731" max="9731" width="10.625" style="384" customWidth="1"/>
    <col min="9732" max="9732" width="16.625" style="384" customWidth="1"/>
    <col min="9733" max="9733" width="22.625" style="384" customWidth="1"/>
    <col min="9734" max="9735" width="17.125" style="384" customWidth="1"/>
    <col min="9736" max="9736" width="28.125" style="384" customWidth="1"/>
    <col min="9737" max="9737" width="12.625" style="384" customWidth="1"/>
    <col min="9738" max="9741" width="11.625" style="384" customWidth="1"/>
    <col min="9742" max="9742" width="9.625" style="384" customWidth="1"/>
    <col min="9743" max="9743" width="11.625" style="384" customWidth="1"/>
    <col min="9744" max="9984" width="9" style="384"/>
    <col min="9985" max="9985" width="4.625" style="384" customWidth="1"/>
    <col min="9986" max="9986" width="9.125" style="384" customWidth="1"/>
    <col min="9987" max="9987" width="10.625" style="384" customWidth="1"/>
    <col min="9988" max="9988" width="16.625" style="384" customWidth="1"/>
    <col min="9989" max="9989" width="22.625" style="384" customWidth="1"/>
    <col min="9990" max="9991" width="17.125" style="384" customWidth="1"/>
    <col min="9992" max="9992" width="28.125" style="384" customWidth="1"/>
    <col min="9993" max="9993" width="12.625" style="384" customWidth="1"/>
    <col min="9994" max="9997" width="11.625" style="384" customWidth="1"/>
    <col min="9998" max="9998" width="9.625" style="384" customWidth="1"/>
    <col min="9999" max="9999" width="11.625" style="384" customWidth="1"/>
    <col min="10000" max="10240" width="9" style="384"/>
    <col min="10241" max="10241" width="4.625" style="384" customWidth="1"/>
    <col min="10242" max="10242" width="9.125" style="384" customWidth="1"/>
    <col min="10243" max="10243" width="10.625" style="384" customWidth="1"/>
    <col min="10244" max="10244" width="16.625" style="384" customWidth="1"/>
    <col min="10245" max="10245" width="22.625" style="384" customWidth="1"/>
    <col min="10246" max="10247" width="17.125" style="384" customWidth="1"/>
    <col min="10248" max="10248" width="28.125" style="384" customWidth="1"/>
    <col min="10249" max="10249" width="12.625" style="384" customWidth="1"/>
    <col min="10250" max="10253" width="11.625" style="384" customWidth="1"/>
    <col min="10254" max="10254" width="9.625" style="384" customWidth="1"/>
    <col min="10255" max="10255" width="11.625" style="384" customWidth="1"/>
    <col min="10256" max="10496" width="9" style="384"/>
    <col min="10497" max="10497" width="4.625" style="384" customWidth="1"/>
    <col min="10498" max="10498" width="9.125" style="384" customWidth="1"/>
    <col min="10499" max="10499" width="10.625" style="384" customWidth="1"/>
    <col min="10500" max="10500" width="16.625" style="384" customWidth="1"/>
    <col min="10501" max="10501" width="22.625" style="384" customWidth="1"/>
    <col min="10502" max="10503" width="17.125" style="384" customWidth="1"/>
    <col min="10504" max="10504" width="28.125" style="384" customWidth="1"/>
    <col min="10505" max="10505" width="12.625" style="384" customWidth="1"/>
    <col min="10506" max="10509" width="11.625" style="384" customWidth="1"/>
    <col min="10510" max="10510" width="9.625" style="384" customWidth="1"/>
    <col min="10511" max="10511" width="11.625" style="384" customWidth="1"/>
    <col min="10512" max="10752" width="9" style="384"/>
    <col min="10753" max="10753" width="4.625" style="384" customWidth="1"/>
    <col min="10754" max="10754" width="9.125" style="384" customWidth="1"/>
    <col min="10755" max="10755" width="10.625" style="384" customWidth="1"/>
    <col min="10756" max="10756" width="16.625" style="384" customWidth="1"/>
    <col min="10757" max="10757" width="22.625" style="384" customWidth="1"/>
    <col min="10758" max="10759" width="17.125" style="384" customWidth="1"/>
    <col min="10760" max="10760" width="28.125" style="384" customWidth="1"/>
    <col min="10761" max="10761" width="12.625" style="384" customWidth="1"/>
    <col min="10762" max="10765" width="11.625" style="384" customWidth="1"/>
    <col min="10766" max="10766" width="9.625" style="384" customWidth="1"/>
    <col min="10767" max="10767" width="11.625" style="384" customWidth="1"/>
    <col min="10768" max="11008" width="9" style="384"/>
    <col min="11009" max="11009" width="4.625" style="384" customWidth="1"/>
    <col min="11010" max="11010" width="9.125" style="384" customWidth="1"/>
    <col min="11011" max="11011" width="10.625" style="384" customWidth="1"/>
    <col min="11012" max="11012" width="16.625" style="384" customWidth="1"/>
    <col min="11013" max="11013" width="22.625" style="384" customWidth="1"/>
    <col min="11014" max="11015" width="17.125" style="384" customWidth="1"/>
    <col min="11016" max="11016" width="28.125" style="384" customWidth="1"/>
    <col min="11017" max="11017" width="12.625" style="384" customWidth="1"/>
    <col min="11018" max="11021" width="11.625" style="384" customWidth="1"/>
    <col min="11022" max="11022" width="9.625" style="384" customWidth="1"/>
    <col min="11023" max="11023" width="11.625" style="384" customWidth="1"/>
    <col min="11024" max="11264" width="9" style="384"/>
    <col min="11265" max="11265" width="4.625" style="384" customWidth="1"/>
    <col min="11266" max="11266" width="9.125" style="384" customWidth="1"/>
    <col min="11267" max="11267" width="10.625" style="384" customWidth="1"/>
    <col min="11268" max="11268" width="16.625" style="384" customWidth="1"/>
    <col min="11269" max="11269" width="22.625" style="384" customWidth="1"/>
    <col min="11270" max="11271" width="17.125" style="384" customWidth="1"/>
    <col min="11272" max="11272" width="28.125" style="384" customWidth="1"/>
    <col min="11273" max="11273" width="12.625" style="384" customWidth="1"/>
    <col min="11274" max="11277" width="11.625" style="384" customWidth="1"/>
    <col min="11278" max="11278" width="9.625" style="384" customWidth="1"/>
    <col min="11279" max="11279" width="11.625" style="384" customWidth="1"/>
    <col min="11280" max="11520" width="9" style="384"/>
    <col min="11521" max="11521" width="4.625" style="384" customWidth="1"/>
    <col min="11522" max="11522" width="9.125" style="384" customWidth="1"/>
    <col min="11523" max="11523" width="10.625" style="384" customWidth="1"/>
    <col min="11524" max="11524" width="16.625" style="384" customWidth="1"/>
    <col min="11525" max="11525" width="22.625" style="384" customWidth="1"/>
    <col min="11526" max="11527" width="17.125" style="384" customWidth="1"/>
    <col min="11528" max="11528" width="28.125" style="384" customWidth="1"/>
    <col min="11529" max="11529" width="12.625" style="384" customWidth="1"/>
    <col min="11530" max="11533" width="11.625" style="384" customWidth="1"/>
    <col min="11534" max="11534" width="9.625" style="384" customWidth="1"/>
    <col min="11535" max="11535" width="11.625" style="384" customWidth="1"/>
    <col min="11536" max="11776" width="9" style="384"/>
    <col min="11777" max="11777" width="4.625" style="384" customWidth="1"/>
    <col min="11778" max="11778" width="9.125" style="384" customWidth="1"/>
    <col min="11779" max="11779" width="10.625" style="384" customWidth="1"/>
    <col min="11780" max="11780" width="16.625" style="384" customWidth="1"/>
    <col min="11781" max="11781" width="22.625" style="384" customWidth="1"/>
    <col min="11782" max="11783" width="17.125" style="384" customWidth="1"/>
    <col min="11784" max="11784" width="28.125" style="384" customWidth="1"/>
    <col min="11785" max="11785" width="12.625" style="384" customWidth="1"/>
    <col min="11786" max="11789" width="11.625" style="384" customWidth="1"/>
    <col min="11790" max="11790" width="9.625" style="384" customWidth="1"/>
    <col min="11791" max="11791" width="11.625" style="384" customWidth="1"/>
    <col min="11792" max="12032" width="9" style="384"/>
    <col min="12033" max="12033" width="4.625" style="384" customWidth="1"/>
    <col min="12034" max="12034" width="9.125" style="384" customWidth="1"/>
    <col min="12035" max="12035" width="10.625" style="384" customWidth="1"/>
    <col min="12036" max="12036" width="16.625" style="384" customWidth="1"/>
    <col min="12037" max="12037" width="22.625" style="384" customWidth="1"/>
    <col min="12038" max="12039" width="17.125" style="384" customWidth="1"/>
    <col min="12040" max="12040" width="28.125" style="384" customWidth="1"/>
    <col min="12041" max="12041" width="12.625" style="384" customWidth="1"/>
    <col min="12042" max="12045" width="11.625" style="384" customWidth="1"/>
    <col min="12046" max="12046" width="9.625" style="384" customWidth="1"/>
    <col min="12047" max="12047" width="11.625" style="384" customWidth="1"/>
    <col min="12048" max="12288" width="9" style="384"/>
    <col min="12289" max="12289" width="4.625" style="384" customWidth="1"/>
    <col min="12290" max="12290" width="9.125" style="384" customWidth="1"/>
    <col min="12291" max="12291" width="10.625" style="384" customWidth="1"/>
    <col min="12292" max="12292" width="16.625" style="384" customWidth="1"/>
    <col min="12293" max="12293" width="22.625" style="384" customWidth="1"/>
    <col min="12294" max="12295" width="17.125" style="384" customWidth="1"/>
    <col min="12296" max="12296" width="28.125" style="384" customWidth="1"/>
    <col min="12297" max="12297" width="12.625" style="384" customWidth="1"/>
    <col min="12298" max="12301" width="11.625" style="384" customWidth="1"/>
    <col min="12302" max="12302" width="9.625" style="384" customWidth="1"/>
    <col min="12303" max="12303" width="11.625" style="384" customWidth="1"/>
    <col min="12304" max="12544" width="9" style="384"/>
    <col min="12545" max="12545" width="4.625" style="384" customWidth="1"/>
    <col min="12546" max="12546" width="9.125" style="384" customWidth="1"/>
    <col min="12547" max="12547" width="10.625" style="384" customWidth="1"/>
    <col min="12548" max="12548" width="16.625" style="384" customWidth="1"/>
    <col min="12549" max="12549" width="22.625" style="384" customWidth="1"/>
    <col min="12550" max="12551" width="17.125" style="384" customWidth="1"/>
    <col min="12552" max="12552" width="28.125" style="384" customWidth="1"/>
    <col min="12553" max="12553" width="12.625" style="384" customWidth="1"/>
    <col min="12554" max="12557" width="11.625" style="384" customWidth="1"/>
    <col min="12558" max="12558" width="9.625" style="384" customWidth="1"/>
    <col min="12559" max="12559" width="11.625" style="384" customWidth="1"/>
    <col min="12560" max="12800" width="9" style="384"/>
    <col min="12801" max="12801" width="4.625" style="384" customWidth="1"/>
    <col min="12802" max="12802" width="9.125" style="384" customWidth="1"/>
    <col min="12803" max="12803" width="10.625" style="384" customWidth="1"/>
    <col min="12804" max="12804" width="16.625" style="384" customWidth="1"/>
    <col min="12805" max="12805" width="22.625" style="384" customWidth="1"/>
    <col min="12806" max="12807" width="17.125" style="384" customWidth="1"/>
    <col min="12808" max="12808" width="28.125" style="384" customWidth="1"/>
    <col min="12809" max="12809" width="12.625" style="384" customWidth="1"/>
    <col min="12810" max="12813" width="11.625" style="384" customWidth="1"/>
    <col min="12814" max="12814" width="9.625" style="384" customWidth="1"/>
    <col min="12815" max="12815" width="11.625" style="384" customWidth="1"/>
    <col min="12816" max="13056" width="9" style="384"/>
    <col min="13057" max="13057" width="4.625" style="384" customWidth="1"/>
    <col min="13058" max="13058" width="9.125" style="384" customWidth="1"/>
    <col min="13059" max="13059" width="10.625" style="384" customWidth="1"/>
    <col min="13060" max="13060" width="16.625" style="384" customWidth="1"/>
    <col min="13061" max="13061" width="22.625" style="384" customWidth="1"/>
    <col min="13062" max="13063" width="17.125" style="384" customWidth="1"/>
    <col min="13064" max="13064" width="28.125" style="384" customWidth="1"/>
    <col min="13065" max="13065" width="12.625" style="384" customWidth="1"/>
    <col min="13066" max="13069" width="11.625" style="384" customWidth="1"/>
    <col min="13070" max="13070" width="9.625" style="384" customWidth="1"/>
    <col min="13071" max="13071" width="11.625" style="384" customWidth="1"/>
    <col min="13072" max="13312" width="9" style="384"/>
    <col min="13313" max="13313" width="4.625" style="384" customWidth="1"/>
    <col min="13314" max="13314" width="9.125" style="384" customWidth="1"/>
    <col min="13315" max="13315" width="10.625" style="384" customWidth="1"/>
    <col min="13316" max="13316" width="16.625" style="384" customWidth="1"/>
    <col min="13317" max="13317" width="22.625" style="384" customWidth="1"/>
    <col min="13318" max="13319" width="17.125" style="384" customWidth="1"/>
    <col min="13320" max="13320" width="28.125" style="384" customWidth="1"/>
    <col min="13321" max="13321" width="12.625" style="384" customWidth="1"/>
    <col min="13322" max="13325" width="11.625" style="384" customWidth="1"/>
    <col min="13326" max="13326" width="9.625" style="384" customWidth="1"/>
    <col min="13327" max="13327" width="11.625" style="384" customWidth="1"/>
    <col min="13328" max="13568" width="9" style="384"/>
    <col min="13569" max="13569" width="4.625" style="384" customWidth="1"/>
    <col min="13570" max="13570" width="9.125" style="384" customWidth="1"/>
    <col min="13571" max="13571" width="10.625" style="384" customWidth="1"/>
    <col min="13572" max="13572" width="16.625" style="384" customWidth="1"/>
    <col min="13573" max="13573" width="22.625" style="384" customWidth="1"/>
    <col min="13574" max="13575" width="17.125" style="384" customWidth="1"/>
    <col min="13576" max="13576" width="28.125" style="384" customWidth="1"/>
    <col min="13577" max="13577" width="12.625" style="384" customWidth="1"/>
    <col min="13578" max="13581" width="11.625" style="384" customWidth="1"/>
    <col min="13582" max="13582" width="9.625" style="384" customWidth="1"/>
    <col min="13583" max="13583" width="11.625" style="384" customWidth="1"/>
    <col min="13584" max="13824" width="9" style="384"/>
    <col min="13825" max="13825" width="4.625" style="384" customWidth="1"/>
    <col min="13826" max="13826" width="9.125" style="384" customWidth="1"/>
    <col min="13827" max="13827" width="10.625" style="384" customWidth="1"/>
    <col min="13828" max="13828" width="16.625" style="384" customWidth="1"/>
    <col min="13829" max="13829" width="22.625" style="384" customWidth="1"/>
    <col min="13830" max="13831" width="17.125" style="384" customWidth="1"/>
    <col min="13832" max="13832" width="28.125" style="384" customWidth="1"/>
    <col min="13833" max="13833" width="12.625" style="384" customWidth="1"/>
    <col min="13834" max="13837" width="11.625" style="384" customWidth="1"/>
    <col min="13838" max="13838" width="9.625" style="384" customWidth="1"/>
    <col min="13839" max="13839" width="11.625" style="384" customWidth="1"/>
    <col min="13840" max="14080" width="9" style="384"/>
    <col min="14081" max="14081" width="4.625" style="384" customWidth="1"/>
    <col min="14082" max="14082" width="9.125" style="384" customWidth="1"/>
    <col min="14083" max="14083" width="10.625" style="384" customWidth="1"/>
    <col min="14084" max="14084" width="16.625" style="384" customWidth="1"/>
    <col min="14085" max="14085" width="22.625" style="384" customWidth="1"/>
    <col min="14086" max="14087" width="17.125" style="384" customWidth="1"/>
    <col min="14088" max="14088" width="28.125" style="384" customWidth="1"/>
    <col min="14089" max="14089" width="12.625" style="384" customWidth="1"/>
    <col min="14090" max="14093" width="11.625" style="384" customWidth="1"/>
    <col min="14094" max="14094" width="9.625" style="384" customWidth="1"/>
    <col min="14095" max="14095" width="11.625" style="384" customWidth="1"/>
    <col min="14096" max="14336" width="9" style="384"/>
    <col min="14337" max="14337" width="4.625" style="384" customWidth="1"/>
    <col min="14338" max="14338" width="9.125" style="384" customWidth="1"/>
    <col min="14339" max="14339" width="10.625" style="384" customWidth="1"/>
    <col min="14340" max="14340" width="16.625" style="384" customWidth="1"/>
    <col min="14341" max="14341" width="22.625" style="384" customWidth="1"/>
    <col min="14342" max="14343" width="17.125" style="384" customWidth="1"/>
    <col min="14344" max="14344" width="28.125" style="384" customWidth="1"/>
    <col min="14345" max="14345" width="12.625" style="384" customWidth="1"/>
    <col min="14346" max="14349" width="11.625" style="384" customWidth="1"/>
    <col min="14350" max="14350" width="9.625" style="384" customWidth="1"/>
    <col min="14351" max="14351" width="11.625" style="384" customWidth="1"/>
    <col min="14352" max="14592" width="9" style="384"/>
    <col min="14593" max="14593" width="4.625" style="384" customWidth="1"/>
    <col min="14594" max="14594" width="9.125" style="384" customWidth="1"/>
    <col min="14595" max="14595" width="10.625" style="384" customWidth="1"/>
    <col min="14596" max="14596" width="16.625" style="384" customWidth="1"/>
    <col min="14597" max="14597" width="22.625" style="384" customWidth="1"/>
    <col min="14598" max="14599" width="17.125" style="384" customWidth="1"/>
    <col min="14600" max="14600" width="28.125" style="384" customWidth="1"/>
    <col min="14601" max="14601" width="12.625" style="384" customWidth="1"/>
    <col min="14602" max="14605" width="11.625" style="384" customWidth="1"/>
    <col min="14606" max="14606" width="9.625" style="384" customWidth="1"/>
    <col min="14607" max="14607" width="11.625" style="384" customWidth="1"/>
    <col min="14608" max="14848" width="9" style="384"/>
    <col min="14849" max="14849" width="4.625" style="384" customWidth="1"/>
    <col min="14850" max="14850" width="9.125" style="384" customWidth="1"/>
    <col min="14851" max="14851" width="10.625" style="384" customWidth="1"/>
    <col min="14852" max="14852" width="16.625" style="384" customWidth="1"/>
    <col min="14853" max="14853" width="22.625" style="384" customWidth="1"/>
    <col min="14854" max="14855" width="17.125" style="384" customWidth="1"/>
    <col min="14856" max="14856" width="28.125" style="384" customWidth="1"/>
    <col min="14857" max="14857" width="12.625" style="384" customWidth="1"/>
    <col min="14858" max="14861" width="11.625" style="384" customWidth="1"/>
    <col min="14862" max="14862" width="9.625" style="384" customWidth="1"/>
    <col min="14863" max="14863" width="11.625" style="384" customWidth="1"/>
    <col min="14864" max="15104" width="9" style="384"/>
    <col min="15105" max="15105" width="4.625" style="384" customWidth="1"/>
    <col min="15106" max="15106" width="9.125" style="384" customWidth="1"/>
    <col min="15107" max="15107" width="10.625" style="384" customWidth="1"/>
    <col min="15108" max="15108" width="16.625" style="384" customWidth="1"/>
    <col min="15109" max="15109" width="22.625" style="384" customWidth="1"/>
    <col min="15110" max="15111" width="17.125" style="384" customWidth="1"/>
    <col min="15112" max="15112" width="28.125" style="384" customWidth="1"/>
    <col min="15113" max="15113" width="12.625" style="384" customWidth="1"/>
    <col min="15114" max="15117" width="11.625" style="384" customWidth="1"/>
    <col min="15118" max="15118" width="9.625" style="384" customWidth="1"/>
    <col min="15119" max="15119" width="11.625" style="384" customWidth="1"/>
    <col min="15120" max="15360" width="9" style="384"/>
    <col min="15361" max="15361" width="4.625" style="384" customWidth="1"/>
    <col min="15362" max="15362" width="9.125" style="384" customWidth="1"/>
    <col min="15363" max="15363" width="10.625" style="384" customWidth="1"/>
    <col min="15364" max="15364" width="16.625" style="384" customWidth="1"/>
    <col min="15365" max="15365" width="22.625" style="384" customWidth="1"/>
    <col min="15366" max="15367" width="17.125" style="384" customWidth="1"/>
    <col min="15368" max="15368" width="28.125" style="384" customWidth="1"/>
    <col min="15369" max="15369" width="12.625" style="384" customWidth="1"/>
    <col min="15370" max="15373" width="11.625" style="384" customWidth="1"/>
    <col min="15374" max="15374" width="9.625" style="384" customWidth="1"/>
    <col min="15375" max="15375" width="11.625" style="384" customWidth="1"/>
    <col min="15376" max="15616" width="9" style="384"/>
    <col min="15617" max="15617" width="4.625" style="384" customWidth="1"/>
    <col min="15618" max="15618" width="9.125" style="384" customWidth="1"/>
    <col min="15619" max="15619" width="10.625" style="384" customWidth="1"/>
    <col min="15620" max="15620" width="16.625" style="384" customWidth="1"/>
    <col min="15621" max="15621" width="22.625" style="384" customWidth="1"/>
    <col min="15622" max="15623" width="17.125" style="384" customWidth="1"/>
    <col min="15624" max="15624" width="28.125" style="384" customWidth="1"/>
    <col min="15625" max="15625" width="12.625" style="384" customWidth="1"/>
    <col min="15626" max="15629" width="11.625" style="384" customWidth="1"/>
    <col min="15630" max="15630" width="9.625" style="384" customWidth="1"/>
    <col min="15631" max="15631" width="11.625" style="384" customWidth="1"/>
    <col min="15632" max="15872" width="9" style="384"/>
    <col min="15873" max="15873" width="4.625" style="384" customWidth="1"/>
    <col min="15874" max="15874" width="9.125" style="384" customWidth="1"/>
    <col min="15875" max="15875" width="10.625" style="384" customWidth="1"/>
    <col min="15876" max="15876" width="16.625" style="384" customWidth="1"/>
    <col min="15877" max="15877" width="22.625" style="384" customWidth="1"/>
    <col min="15878" max="15879" width="17.125" style="384" customWidth="1"/>
    <col min="15880" max="15880" width="28.125" style="384" customWidth="1"/>
    <col min="15881" max="15881" width="12.625" style="384" customWidth="1"/>
    <col min="15882" max="15885" width="11.625" style="384" customWidth="1"/>
    <col min="15886" max="15886" width="9.625" style="384" customWidth="1"/>
    <col min="15887" max="15887" width="11.625" style="384" customWidth="1"/>
    <col min="15888" max="16128" width="9" style="384"/>
    <col min="16129" max="16129" width="4.625" style="384" customWidth="1"/>
    <col min="16130" max="16130" width="9.125" style="384" customWidth="1"/>
    <col min="16131" max="16131" width="10.625" style="384" customWidth="1"/>
    <col min="16132" max="16132" width="16.625" style="384" customWidth="1"/>
    <col min="16133" max="16133" width="22.625" style="384" customWidth="1"/>
    <col min="16134" max="16135" width="17.125" style="384" customWidth="1"/>
    <col min="16136" max="16136" width="28.125" style="384" customWidth="1"/>
    <col min="16137" max="16137" width="12.625" style="384" customWidth="1"/>
    <col min="16138" max="16141" width="11.625" style="384" customWidth="1"/>
    <col min="16142" max="16142" width="9.625" style="384" customWidth="1"/>
    <col min="16143" max="16143" width="11.625" style="384" customWidth="1"/>
    <col min="16144" max="16384" width="9" style="384"/>
  </cols>
  <sheetData>
    <row r="1" spans="1:16" ht="21" x14ac:dyDescent="0.45">
      <c r="A1" s="512" t="s">
        <v>1913</v>
      </c>
      <c r="B1" s="512"/>
      <c r="C1" s="512"/>
      <c r="D1" s="512"/>
      <c r="E1" s="512"/>
      <c r="F1" s="512"/>
      <c r="G1" s="512"/>
      <c r="H1" s="512"/>
      <c r="I1" s="512"/>
      <c r="J1" s="512"/>
      <c r="K1" s="512"/>
      <c r="L1" s="512"/>
      <c r="M1" s="512"/>
      <c r="N1" s="512"/>
      <c r="O1" s="512"/>
    </row>
    <row r="2" spans="1:16" ht="21" x14ac:dyDescent="0.45">
      <c r="A2" s="512" t="s">
        <v>1920</v>
      </c>
      <c r="B2" s="512"/>
      <c r="C2" s="512"/>
      <c r="D2" s="512"/>
      <c r="E2" s="512"/>
      <c r="F2" s="512"/>
      <c r="G2" s="512"/>
      <c r="H2" s="512"/>
      <c r="I2" s="512"/>
      <c r="J2" s="512"/>
      <c r="K2" s="512"/>
      <c r="L2" s="512"/>
      <c r="M2" s="512"/>
      <c r="N2" s="512"/>
      <c r="O2" s="512"/>
    </row>
    <row r="3" spans="1:16" ht="21" x14ac:dyDescent="0.45">
      <c r="A3" s="512" t="s">
        <v>2265</v>
      </c>
      <c r="B3" s="512"/>
      <c r="C3" s="512"/>
      <c r="D3" s="512"/>
      <c r="E3" s="512"/>
      <c r="F3" s="512"/>
      <c r="G3" s="512"/>
      <c r="H3" s="512"/>
      <c r="I3" s="512"/>
      <c r="J3" s="512"/>
      <c r="K3" s="512"/>
      <c r="L3" s="512"/>
      <c r="M3" s="512"/>
      <c r="N3" s="512"/>
      <c r="O3" s="512"/>
    </row>
    <row r="5" spans="1:16" s="386" customFormat="1" ht="38.25" customHeight="1" x14ac:dyDescent="0.4">
      <c r="A5" s="520" t="s">
        <v>253</v>
      </c>
      <c r="B5" s="520" t="s">
        <v>254</v>
      </c>
      <c r="C5" s="520"/>
      <c r="D5" s="520"/>
      <c r="E5" s="520"/>
      <c r="F5" s="520"/>
      <c r="G5" s="520"/>
      <c r="H5" s="520"/>
      <c r="I5" s="520"/>
      <c r="J5" s="515" t="s">
        <v>2148</v>
      </c>
      <c r="K5" s="515"/>
      <c r="L5" s="515"/>
      <c r="M5" s="515"/>
      <c r="N5" s="515"/>
      <c r="O5" s="524" t="s">
        <v>256</v>
      </c>
      <c r="P5" s="385"/>
    </row>
    <row r="6" spans="1:16" s="387" customFormat="1" ht="56.25" customHeight="1" x14ac:dyDescent="0.2">
      <c r="A6" s="520"/>
      <c r="B6" s="525" t="s">
        <v>257</v>
      </c>
      <c r="C6" s="513" t="s">
        <v>2</v>
      </c>
      <c r="D6" s="513" t="s">
        <v>258</v>
      </c>
      <c r="E6" s="513" t="s">
        <v>259</v>
      </c>
      <c r="F6" s="513" t="s">
        <v>260</v>
      </c>
      <c r="G6" s="513" t="s">
        <v>261</v>
      </c>
      <c r="H6" s="513" t="s">
        <v>262</v>
      </c>
      <c r="I6" s="508" t="s">
        <v>263</v>
      </c>
      <c r="J6" s="510" t="s">
        <v>2239</v>
      </c>
      <c r="K6" s="511"/>
      <c r="L6" s="522" t="s">
        <v>265</v>
      </c>
      <c r="M6" s="522"/>
      <c r="N6" s="522"/>
      <c r="O6" s="524"/>
    </row>
    <row r="7" spans="1:16" s="386" customFormat="1" ht="59.25" customHeight="1" x14ac:dyDescent="0.4">
      <c r="A7" s="520"/>
      <c r="B7" s="525"/>
      <c r="C7" s="513"/>
      <c r="D7" s="513"/>
      <c r="E7" s="513"/>
      <c r="F7" s="513"/>
      <c r="G7" s="513"/>
      <c r="H7" s="513"/>
      <c r="I7" s="508"/>
      <c r="J7" s="337" t="s">
        <v>266</v>
      </c>
      <c r="K7" s="337" t="s">
        <v>267</v>
      </c>
      <c r="L7" s="338" t="s">
        <v>266</v>
      </c>
      <c r="M7" s="338" t="s">
        <v>267</v>
      </c>
      <c r="N7" s="338" t="s">
        <v>1921</v>
      </c>
      <c r="O7" s="524"/>
      <c r="P7" s="385"/>
    </row>
    <row r="8" spans="1:16" s="395" customFormat="1" x14ac:dyDescent="0.2">
      <c r="A8" s="388" t="s">
        <v>739</v>
      </c>
      <c r="B8" s="389"/>
      <c r="C8" s="390"/>
      <c r="D8" s="390"/>
      <c r="E8" s="391"/>
      <c r="F8" s="391"/>
      <c r="G8" s="391"/>
      <c r="H8" s="392"/>
      <c r="I8" s="393">
        <f>SUM(I9:I13)</f>
        <v>3208160</v>
      </c>
      <c r="J8" s="393">
        <f t="shared" ref="J8:O8" si="0">SUM(J9:J13)</f>
        <v>0</v>
      </c>
      <c r="K8" s="393">
        <f t="shared" si="0"/>
        <v>0</v>
      </c>
      <c r="L8" s="393">
        <f t="shared" si="0"/>
        <v>22150</v>
      </c>
      <c r="M8" s="393">
        <f t="shared" si="0"/>
        <v>22150</v>
      </c>
      <c r="N8" s="393">
        <f t="shared" si="0"/>
        <v>0</v>
      </c>
      <c r="O8" s="394">
        <f t="shared" si="0"/>
        <v>3163860</v>
      </c>
    </row>
    <row r="9" spans="1:16" s="353" customFormat="1" ht="112.5" x14ac:dyDescent="0.2">
      <c r="A9" s="346">
        <v>1</v>
      </c>
      <c r="B9" s="347" t="s">
        <v>2019</v>
      </c>
      <c r="C9" s="396" t="s">
        <v>2020</v>
      </c>
      <c r="D9" s="396" t="s">
        <v>2021</v>
      </c>
      <c r="E9" s="350" t="s">
        <v>1185</v>
      </c>
      <c r="F9" s="350" t="s">
        <v>1186</v>
      </c>
      <c r="G9" s="350" t="s">
        <v>1763</v>
      </c>
      <c r="H9" s="351" t="s">
        <v>2266</v>
      </c>
      <c r="I9" s="397">
        <v>295000</v>
      </c>
      <c r="J9" s="397">
        <v>0</v>
      </c>
      <c r="K9" s="397">
        <v>0</v>
      </c>
      <c r="L9" s="397">
        <v>0</v>
      </c>
      <c r="M9" s="397">
        <v>0</v>
      </c>
      <c r="N9" s="398" t="s">
        <v>1786</v>
      </c>
      <c r="O9" s="352">
        <f>+I9-(J9+K9+L9+M9)</f>
        <v>295000</v>
      </c>
    </row>
    <row r="10" spans="1:16" s="353" customFormat="1" ht="131.25" x14ac:dyDescent="0.2">
      <c r="A10" s="346">
        <v>2</v>
      </c>
      <c r="B10" s="347" t="s">
        <v>2151</v>
      </c>
      <c r="C10" s="396" t="s">
        <v>2152</v>
      </c>
      <c r="D10" s="396" t="s">
        <v>2153</v>
      </c>
      <c r="E10" s="350" t="s">
        <v>1185</v>
      </c>
      <c r="F10" s="350" t="s">
        <v>1186</v>
      </c>
      <c r="G10" s="350" t="s">
        <v>2154</v>
      </c>
      <c r="H10" s="351" t="s">
        <v>2267</v>
      </c>
      <c r="I10" s="397">
        <v>1707100</v>
      </c>
      <c r="J10" s="397">
        <v>0</v>
      </c>
      <c r="K10" s="397">
        <v>0</v>
      </c>
      <c r="L10" s="397">
        <v>0</v>
      </c>
      <c r="M10" s="397">
        <v>0</v>
      </c>
      <c r="N10" s="398" t="s">
        <v>1786</v>
      </c>
      <c r="O10" s="352">
        <f>+I10-(J10+K10+L10+M10)</f>
        <v>1707100</v>
      </c>
    </row>
    <row r="11" spans="1:16" s="353" customFormat="1" ht="131.25" x14ac:dyDescent="0.2">
      <c r="A11" s="346">
        <v>3</v>
      </c>
      <c r="B11" s="347" t="s">
        <v>2151</v>
      </c>
      <c r="C11" s="396" t="s">
        <v>2152</v>
      </c>
      <c r="D11" s="396" t="s">
        <v>2153</v>
      </c>
      <c r="E11" s="350" t="s">
        <v>2155</v>
      </c>
      <c r="F11" s="350" t="s">
        <v>1186</v>
      </c>
      <c r="G11" s="350" t="s">
        <v>2154</v>
      </c>
      <c r="H11" s="351" t="s">
        <v>2268</v>
      </c>
      <c r="I11" s="397">
        <v>687060</v>
      </c>
      <c r="J11" s="397">
        <v>0</v>
      </c>
      <c r="K11" s="397">
        <v>0</v>
      </c>
      <c r="L11" s="397">
        <v>0</v>
      </c>
      <c r="M11" s="397">
        <v>0</v>
      </c>
      <c r="N11" s="398" t="s">
        <v>1786</v>
      </c>
      <c r="O11" s="352">
        <f>+I11-(J11+K11+L11+M11)</f>
        <v>687060</v>
      </c>
    </row>
    <row r="12" spans="1:16" s="353" customFormat="1" ht="93.75" x14ac:dyDescent="0.2">
      <c r="A12" s="346">
        <v>4</v>
      </c>
      <c r="B12" s="347" t="s">
        <v>2240</v>
      </c>
      <c r="C12" s="396" t="s">
        <v>2241</v>
      </c>
      <c r="D12" s="396" t="s">
        <v>2242</v>
      </c>
      <c r="E12" s="350" t="s">
        <v>1185</v>
      </c>
      <c r="F12" s="350" t="s">
        <v>1186</v>
      </c>
      <c r="G12" s="350" t="s">
        <v>1121</v>
      </c>
      <c r="H12" s="351" t="s">
        <v>2269</v>
      </c>
      <c r="I12" s="397">
        <f>44300+455700</f>
        <v>500000</v>
      </c>
      <c r="J12" s="397">
        <v>0</v>
      </c>
      <c r="K12" s="397">
        <v>0</v>
      </c>
      <c r="L12" s="397">
        <v>22150</v>
      </c>
      <c r="M12" s="397">
        <v>22150</v>
      </c>
      <c r="N12" s="398"/>
      <c r="O12" s="352">
        <f>+I12-(J12+K12+L12+M12)</f>
        <v>455700</v>
      </c>
    </row>
    <row r="13" spans="1:16" s="353" customFormat="1" ht="112.5" x14ac:dyDescent="0.2">
      <c r="A13" s="346">
        <v>5</v>
      </c>
      <c r="B13" s="347" t="s">
        <v>2270</v>
      </c>
      <c r="C13" s="396" t="s">
        <v>2271</v>
      </c>
      <c r="D13" s="396" t="s">
        <v>2272</v>
      </c>
      <c r="E13" s="350" t="s">
        <v>1173</v>
      </c>
      <c r="F13" s="350" t="s">
        <v>739</v>
      </c>
      <c r="G13" s="350" t="s">
        <v>1162</v>
      </c>
      <c r="H13" s="351" t="s">
        <v>2273</v>
      </c>
      <c r="I13" s="397">
        <v>19000</v>
      </c>
      <c r="J13" s="397">
        <v>0</v>
      </c>
      <c r="K13" s="397"/>
      <c r="L13" s="397"/>
      <c r="M13" s="397"/>
      <c r="N13" s="398" t="s">
        <v>1631</v>
      </c>
      <c r="O13" s="352">
        <f>+I13-(J13+K13+L13+M13)</f>
        <v>19000</v>
      </c>
    </row>
    <row r="14" spans="1:16" s="395" customFormat="1" x14ac:dyDescent="0.2">
      <c r="A14" s="388" t="s">
        <v>360</v>
      </c>
      <c r="B14" s="389"/>
      <c r="C14" s="390"/>
      <c r="D14" s="390"/>
      <c r="E14" s="391"/>
      <c r="F14" s="391"/>
      <c r="G14" s="391"/>
      <c r="H14" s="392"/>
      <c r="I14" s="393">
        <f>SUM(I15)</f>
        <v>245100</v>
      </c>
      <c r="J14" s="393">
        <f t="shared" ref="J14:O14" si="1">SUM(J15)</f>
        <v>0</v>
      </c>
      <c r="K14" s="393">
        <f t="shared" si="1"/>
        <v>0</v>
      </c>
      <c r="L14" s="393">
        <f t="shared" si="1"/>
        <v>19608</v>
      </c>
      <c r="M14" s="393">
        <f t="shared" si="1"/>
        <v>19608</v>
      </c>
      <c r="N14" s="393">
        <f t="shared" si="1"/>
        <v>0</v>
      </c>
      <c r="O14" s="394">
        <f t="shared" si="1"/>
        <v>205884</v>
      </c>
    </row>
    <row r="15" spans="1:16" s="353" customFormat="1" ht="150" x14ac:dyDescent="0.2">
      <c r="A15" s="346">
        <v>1</v>
      </c>
      <c r="B15" s="347" t="s">
        <v>2270</v>
      </c>
      <c r="C15" s="396" t="s">
        <v>2274</v>
      </c>
      <c r="D15" s="396" t="s">
        <v>2275</v>
      </c>
      <c r="E15" s="350" t="s">
        <v>2276</v>
      </c>
      <c r="F15" s="350" t="s">
        <v>360</v>
      </c>
      <c r="G15" s="350" t="s">
        <v>336</v>
      </c>
      <c r="H15" s="351" t="s">
        <v>2277</v>
      </c>
      <c r="I15" s="397">
        <v>245100</v>
      </c>
      <c r="J15" s="397">
        <v>0</v>
      </c>
      <c r="K15" s="397">
        <v>0</v>
      </c>
      <c r="L15" s="397">
        <v>19608</v>
      </c>
      <c r="M15" s="397">
        <v>19608</v>
      </c>
      <c r="N15" s="398">
        <v>0</v>
      </c>
      <c r="O15" s="352">
        <f>+I15-(SUM(J15:N15))</f>
        <v>205884</v>
      </c>
    </row>
    <row r="16" spans="1:16" s="395" customFormat="1" x14ac:dyDescent="0.2">
      <c r="A16" s="388" t="s">
        <v>2126</v>
      </c>
      <c r="B16" s="389"/>
      <c r="C16" s="390"/>
      <c r="D16" s="390"/>
      <c r="E16" s="391"/>
      <c r="F16" s="391"/>
      <c r="G16" s="391"/>
      <c r="H16" s="392"/>
      <c r="I16" s="393">
        <f>SUM(I17)</f>
        <v>171000</v>
      </c>
      <c r="J16" s="393">
        <f t="shared" ref="J16:O16" si="2">SUM(J17)</f>
        <v>0</v>
      </c>
      <c r="K16" s="393">
        <f t="shared" si="2"/>
        <v>0</v>
      </c>
      <c r="L16" s="393">
        <f t="shared" si="2"/>
        <v>8550</v>
      </c>
      <c r="M16" s="393">
        <f t="shared" si="2"/>
        <v>8550</v>
      </c>
      <c r="N16" s="393">
        <f t="shared" si="2"/>
        <v>0</v>
      </c>
      <c r="O16" s="394">
        <f t="shared" si="2"/>
        <v>153900</v>
      </c>
    </row>
    <row r="17" spans="1:15" s="353" customFormat="1" ht="168.75" x14ac:dyDescent="0.2">
      <c r="A17" s="346">
        <v>1</v>
      </c>
      <c r="B17" s="347" t="s">
        <v>2127</v>
      </c>
      <c r="C17" s="396" t="s">
        <v>2145</v>
      </c>
      <c r="D17" s="396" t="s">
        <v>2146</v>
      </c>
      <c r="E17" s="350" t="s">
        <v>2147</v>
      </c>
      <c r="F17" s="350" t="s">
        <v>2126</v>
      </c>
      <c r="G17" s="350" t="s">
        <v>1198</v>
      </c>
      <c r="H17" s="351" t="s">
        <v>2278</v>
      </c>
      <c r="I17" s="397">
        <v>171000</v>
      </c>
      <c r="J17" s="397">
        <v>0</v>
      </c>
      <c r="K17" s="397">
        <v>0</v>
      </c>
      <c r="L17" s="397">
        <v>8550</v>
      </c>
      <c r="M17" s="397">
        <v>8550</v>
      </c>
      <c r="N17" s="398"/>
      <c r="O17" s="352">
        <f>+I17-(J17+K17+L17+M17)</f>
        <v>153900</v>
      </c>
    </row>
    <row r="18" spans="1:15" s="395" customFormat="1" x14ac:dyDescent="0.2">
      <c r="A18" s="388" t="s">
        <v>1693</v>
      </c>
      <c r="B18" s="389"/>
      <c r="C18" s="390"/>
      <c r="D18" s="390"/>
      <c r="E18" s="391"/>
      <c r="F18" s="391"/>
      <c r="G18" s="391"/>
      <c r="H18" s="392"/>
      <c r="I18" s="393">
        <f>SUM(I19:I39)</f>
        <v>8037163.7300000004</v>
      </c>
      <c r="J18" s="393">
        <f t="shared" ref="J18:O18" si="3">SUM(J19:J39)</f>
        <v>231874.92</v>
      </c>
      <c r="K18" s="393">
        <f t="shared" si="3"/>
        <v>231874.92</v>
      </c>
      <c r="L18" s="393">
        <f t="shared" si="3"/>
        <v>48978.15</v>
      </c>
      <c r="M18" s="393">
        <f t="shared" si="3"/>
        <v>48978.15</v>
      </c>
      <c r="N18" s="393">
        <f t="shared" si="3"/>
        <v>0</v>
      </c>
      <c r="O18" s="394">
        <f t="shared" si="3"/>
        <v>7475457.5899999999</v>
      </c>
    </row>
    <row r="19" spans="1:15" s="353" customFormat="1" ht="112.5" x14ac:dyDescent="0.2">
      <c r="A19" s="346">
        <v>1</v>
      </c>
      <c r="B19" s="347" t="s">
        <v>2022</v>
      </c>
      <c r="C19" s="396" t="s">
        <v>2023</v>
      </c>
      <c r="D19" s="396" t="s">
        <v>2024</v>
      </c>
      <c r="E19" s="350" t="s">
        <v>2025</v>
      </c>
      <c r="F19" s="350" t="s">
        <v>161</v>
      </c>
      <c r="G19" s="350" t="s">
        <v>915</v>
      </c>
      <c r="H19" s="351" t="s">
        <v>2279</v>
      </c>
      <c r="I19" s="397">
        <v>30000</v>
      </c>
      <c r="J19" s="397">
        <v>2400</v>
      </c>
      <c r="K19" s="397">
        <v>2400</v>
      </c>
      <c r="L19" s="397">
        <v>0</v>
      </c>
      <c r="M19" s="397">
        <v>0</v>
      </c>
      <c r="N19" s="397"/>
      <c r="O19" s="352">
        <f>+I19-(J19+K19+L19+M19+N19)</f>
        <v>25200</v>
      </c>
    </row>
    <row r="20" spans="1:15" s="353" customFormat="1" ht="187.5" x14ac:dyDescent="0.2">
      <c r="A20" s="346">
        <v>2</v>
      </c>
      <c r="B20" s="347" t="s">
        <v>2026</v>
      </c>
      <c r="C20" s="396" t="s">
        <v>2027</v>
      </c>
      <c r="D20" s="396" t="s">
        <v>2028</v>
      </c>
      <c r="E20" s="350" t="s">
        <v>1789</v>
      </c>
      <c r="F20" s="350" t="s">
        <v>161</v>
      </c>
      <c r="G20" s="350" t="s">
        <v>930</v>
      </c>
      <c r="H20" s="351" t="s">
        <v>2280</v>
      </c>
      <c r="I20" s="397">
        <v>94526.5</v>
      </c>
      <c r="J20" s="397">
        <v>0</v>
      </c>
      <c r="K20" s="397">
        <v>0</v>
      </c>
      <c r="L20" s="397">
        <v>0</v>
      </c>
      <c r="M20" s="397">
        <v>0</v>
      </c>
      <c r="N20" s="398" t="s">
        <v>1786</v>
      </c>
      <c r="O20" s="352">
        <f>+I20-(J20+K20+L20+M20)</f>
        <v>94526.5</v>
      </c>
    </row>
    <row r="21" spans="1:15" s="353" customFormat="1" ht="168.75" x14ac:dyDescent="0.2">
      <c r="A21" s="346">
        <v>3</v>
      </c>
      <c r="B21" s="347" t="s">
        <v>2026</v>
      </c>
      <c r="C21" s="396" t="s">
        <v>2027</v>
      </c>
      <c r="D21" s="396" t="s">
        <v>2028</v>
      </c>
      <c r="E21" s="350" t="s">
        <v>1790</v>
      </c>
      <c r="F21" s="350" t="s">
        <v>161</v>
      </c>
      <c r="G21" s="350" t="s">
        <v>930</v>
      </c>
      <c r="H21" s="351" t="s">
        <v>2281</v>
      </c>
      <c r="I21" s="397">
        <v>416753</v>
      </c>
      <c r="J21" s="397">
        <v>0</v>
      </c>
      <c r="K21" s="397">
        <v>0</v>
      </c>
      <c r="L21" s="397">
        <v>0</v>
      </c>
      <c r="M21" s="397">
        <v>0</v>
      </c>
      <c r="N21" s="398" t="s">
        <v>1786</v>
      </c>
      <c r="O21" s="352">
        <f>+I21-(J21+K21+L21+M21)</f>
        <v>416753</v>
      </c>
    </row>
    <row r="22" spans="1:15" s="353" customFormat="1" ht="150" x14ac:dyDescent="0.2">
      <c r="A22" s="346">
        <v>4</v>
      </c>
      <c r="B22" s="347" t="s">
        <v>2029</v>
      </c>
      <c r="C22" s="396" t="s">
        <v>2030</v>
      </c>
      <c r="D22" s="396" t="s">
        <v>2031</v>
      </c>
      <c r="E22" s="350" t="s">
        <v>914</v>
      </c>
      <c r="F22" s="350" t="s">
        <v>161</v>
      </c>
      <c r="G22" s="350" t="s">
        <v>1752</v>
      </c>
      <c r="H22" s="351" t="s">
        <v>2282</v>
      </c>
      <c r="I22" s="397">
        <v>800000</v>
      </c>
      <c r="J22" s="397">
        <v>64000</v>
      </c>
      <c r="K22" s="397">
        <v>64000</v>
      </c>
      <c r="L22" s="397">
        <v>0</v>
      </c>
      <c r="M22" s="397">
        <v>0</v>
      </c>
      <c r="N22" s="398"/>
      <c r="O22" s="352">
        <f>+I22-(J22+K22+L22+M22+N22)</f>
        <v>672000</v>
      </c>
    </row>
    <row r="23" spans="1:15" s="353" customFormat="1" ht="187.5" x14ac:dyDescent="0.2">
      <c r="A23" s="346">
        <v>5</v>
      </c>
      <c r="B23" s="347" t="s">
        <v>2032</v>
      </c>
      <c r="C23" s="396" t="s">
        <v>2033</v>
      </c>
      <c r="D23" s="396" t="s">
        <v>2034</v>
      </c>
      <c r="E23" s="350" t="s">
        <v>1841</v>
      </c>
      <c r="F23" s="350" t="s">
        <v>161</v>
      </c>
      <c r="G23" s="350" t="s">
        <v>1758</v>
      </c>
      <c r="H23" s="351" t="s">
        <v>2283</v>
      </c>
      <c r="I23" s="397">
        <f>781527.95+312611.18+41133.05+16453.22</f>
        <v>1151725.3999999999</v>
      </c>
      <c r="J23" s="397">
        <v>92138.03</v>
      </c>
      <c r="K23" s="397">
        <v>92138.03</v>
      </c>
      <c r="L23" s="397">
        <v>0</v>
      </c>
      <c r="M23" s="397">
        <v>0</v>
      </c>
      <c r="N23" s="398"/>
      <c r="O23" s="352">
        <f t="shared" ref="O23:O30" si="4">+I23-(J23+K23+L23+M23)</f>
        <v>967449.33999999985</v>
      </c>
    </row>
    <row r="24" spans="1:15" s="353" customFormat="1" ht="168.75" x14ac:dyDescent="0.2">
      <c r="A24" s="346">
        <v>6</v>
      </c>
      <c r="B24" s="347" t="s">
        <v>2035</v>
      </c>
      <c r="C24" s="396" t="s">
        <v>2036</v>
      </c>
      <c r="D24" s="396" t="s">
        <v>2037</v>
      </c>
      <c r="E24" s="350" t="s">
        <v>1841</v>
      </c>
      <c r="F24" s="350" t="s">
        <v>161</v>
      </c>
      <c r="G24" s="350" t="s">
        <v>1758</v>
      </c>
      <c r="H24" s="351" t="s">
        <v>2284</v>
      </c>
      <c r="I24" s="397">
        <v>24679.83</v>
      </c>
      <c r="J24" s="397">
        <v>1974.39</v>
      </c>
      <c r="K24" s="397">
        <v>1974.39</v>
      </c>
      <c r="L24" s="397">
        <v>0</v>
      </c>
      <c r="M24" s="397">
        <v>0</v>
      </c>
      <c r="N24" s="398"/>
      <c r="O24" s="352">
        <f t="shared" si="4"/>
        <v>20731.050000000003</v>
      </c>
    </row>
    <row r="25" spans="1:15" s="353" customFormat="1" ht="131.25" x14ac:dyDescent="0.2">
      <c r="A25" s="346">
        <v>7</v>
      </c>
      <c r="B25" s="347" t="s">
        <v>2019</v>
      </c>
      <c r="C25" s="396" t="s">
        <v>2020</v>
      </c>
      <c r="D25" s="396" t="s">
        <v>2021</v>
      </c>
      <c r="E25" s="350" t="s">
        <v>1810</v>
      </c>
      <c r="F25" s="350" t="s">
        <v>161</v>
      </c>
      <c r="G25" s="350" t="s">
        <v>1763</v>
      </c>
      <c r="H25" s="351" t="s">
        <v>2285</v>
      </c>
      <c r="I25" s="397">
        <v>492990</v>
      </c>
      <c r="J25" s="397">
        <v>0</v>
      </c>
      <c r="K25" s="397">
        <v>0</v>
      </c>
      <c r="L25" s="397">
        <v>0</v>
      </c>
      <c r="M25" s="397">
        <v>0</v>
      </c>
      <c r="N25" s="398" t="s">
        <v>1786</v>
      </c>
      <c r="O25" s="352">
        <f t="shared" si="4"/>
        <v>492990</v>
      </c>
    </row>
    <row r="26" spans="1:15" s="353" customFormat="1" ht="131.25" x14ac:dyDescent="0.2">
      <c r="A26" s="346">
        <v>8</v>
      </c>
      <c r="B26" s="347" t="s">
        <v>2038</v>
      </c>
      <c r="C26" s="396" t="s">
        <v>2039</v>
      </c>
      <c r="D26" s="396" t="s">
        <v>2040</v>
      </c>
      <c r="E26" s="350" t="s">
        <v>1018</v>
      </c>
      <c r="F26" s="350" t="s">
        <v>161</v>
      </c>
      <c r="G26" s="350" t="s">
        <v>2041</v>
      </c>
      <c r="H26" s="351" t="s">
        <v>2286</v>
      </c>
      <c r="I26" s="397">
        <v>13932</v>
      </c>
      <c r="J26" s="397">
        <v>0</v>
      </c>
      <c r="K26" s="397">
        <v>0</v>
      </c>
      <c r="L26" s="397">
        <v>0</v>
      </c>
      <c r="M26" s="397">
        <v>0</v>
      </c>
      <c r="N26" s="398" t="s">
        <v>1631</v>
      </c>
      <c r="O26" s="352">
        <f t="shared" si="4"/>
        <v>13932</v>
      </c>
    </row>
    <row r="27" spans="1:15" s="353" customFormat="1" ht="112.5" x14ac:dyDescent="0.2">
      <c r="A27" s="346">
        <v>9</v>
      </c>
      <c r="B27" s="347" t="s">
        <v>2042</v>
      </c>
      <c r="C27" s="396" t="s">
        <v>2043</v>
      </c>
      <c r="D27" s="396" t="s">
        <v>2044</v>
      </c>
      <c r="E27" s="350" t="s">
        <v>957</v>
      </c>
      <c r="F27" s="350" t="s">
        <v>1693</v>
      </c>
      <c r="G27" s="350" t="s">
        <v>1198</v>
      </c>
      <c r="H27" s="351" t="s">
        <v>2287</v>
      </c>
      <c r="I27" s="397">
        <v>279391</v>
      </c>
      <c r="J27" s="397">
        <v>0</v>
      </c>
      <c r="K27" s="397">
        <v>0</v>
      </c>
      <c r="L27" s="397">
        <v>12465.65</v>
      </c>
      <c r="M27" s="397">
        <v>12465.65</v>
      </c>
      <c r="N27" s="398"/>
      <c r="O27" s="352">
        <f t="shared" si="4"/>
        <v>254459.7</v>
      </c>
    </row>
    <row r="28" spans="1:15" s="353" customFormat="1" ht="112.5" x14ac:dyDescent="0.2">
      <c r="A28" s="346">
        <v>10</v>
      </c>
      <c r="B28" s="347" t="s">
        <v>2127</v>
      </c>
      <c r="C28" s="396" t="s">
        <v>2128</v>
      </c>
      <c r="D28" s="396" t="s">
        <v>2129</v>
      </c>
      <c r="E28" s="350" t="s">
        <v>2165</v>
      </c>
      <c r="F28" s="350" t="s">
        <v>161</v>
      </c>
      <c r="G28" s="350" t="s">
        <v>1198</v>
      </c>
      <c r="H28" s="351" t="s">
        <v>2288</v>
      </c>
      <c r="I28" s="397">
        <v>128250</v>
      </c>
      <c r="J28" s="397">
        <v>0</v>
      </c>
      <c r="K28" s="397">
        <v>0</v>
      </c>
      <c r="L28" s="397">
        <v>6412.5</v>
      </c>
      <c r="M28" s="397">
        <v>6412.5</v>
      </c>
      <c r="N28" s="398"/>
      <c r="O28" s="352">
        <f t="shared" si="4"/>
        <v>115425</v>
      </c>
    </row>
    <row r="29" spans="1:15" s="353" customFormat="1" ht="131.25" x14ac:dyDescent="0.2">
      <c r="A29" s="346">
        <v>11</v>
      </c>
      <c r="B29" s="347" t="s">
        <v>2156</v>
      </c>
      <c r="C29" s="396" t="s">
        <v>2157</v>
      </c>
      <c r="D29" s="396" t="s">
        <v>2158</v>
      </c>
      <c r="E29" s="350" t="s">
        <v>1300</v>
      </c>
      <c r="F29" s="350" t="s">
        <v>161</v>
      </c>
      <c r="G29" s="350" t="s">
        <v>1198</v>
      </c>
      <c r="H29" s="351" t="s">
        <v>2289</v>
      </c>
      <c r="I29" s="397">
        <f>45000+455000</f>
        <v>500000</v>
      </c>
      <c r="J29" s="397">
        <v>0</v>
      </c>
      <c r="K29" s="397">
        <v>0</v>
      </c>
      <c r="L29" s="397">
        <v>22500</v>
      </c>
      <c r="M29" s="397">
        <v>22500</v>
      </c>
      <c r="N29" s="398"/>
      <c r="O29" s="352">
        <f t="shared" si="4"/>
        <v>455000</v>
      </c>
    </row>
    <row r="30" spans="1:15" s="353" customFormat="1" ht="93.75" x14ac:dyDescent="0.2">
      <c r="A30" s="346">
        <v>12</v>
      </c>
      <c r="B30" s="347" t="s">
        <v>2159</v>
      </c>
      <c r="C30" s="396" t="s">
        <v>2160</v>
      </c>
      <c r="D30" s="396" t="s">
        <v>2161</v>
      </c>
      <c r="E30" s="350" t="s">
        <v>1810</v>
      </c>
      <c r="F30" s="350" t="s">
        <v>161</v>
      </c>
      <c r="G30" s="350" t="s">
        <v>1198</v>
      </c>
      <c r="H30" s="351" t="s">
        <v>2290</v>
      </c>
      <c r="I30" s="397">
        <v>152000</v>
      </c>
      <c r="J30" s="397">
        <v>0</v>
      </c>
      <c r="K30" s="397">
        <v>0</v>
      </c>
      <c r="L30" s="397">
        <v>7600</v>
      </c>
      <c r="M30" s="397">
        <v>7600</v>
      </c>
      <c r="N30" s="398"/>
      <c r="O30" s="352">
        <f t="shared" si="4"/>
        <v>136800</v>
      </c>
    </row>
    <row r="31" spans="1:15" s="353" customFormat="1" ht="150" x14ac:dyDescent="0.2">
      <c r="A31" s="346">
        <v>13</v>
      </c>
      <c r="B31" s="347" t="s">
        <v>2162</v>
      </c>
      <c r="C31" s="396" t="s">
        <v>2163</v>
      </c>
      <c r="D31" s="396" t="s">
        <v>2164</v>
      </c>
      <c r="E31" s="350" t="s">
        <v>914</v>
      </c>
      <c r="F31" s="350" t="s">
        <v>161</v>
      </c>
      <c r="G31" s="350" t="s">
        <v>1752</v>
      </c>
      <c r="H31" s="351" t="s">
        <v>2291</v>
      </c>
      <c r="I31" s="397">
        <v>800000</v>
      </c>
      <c r="J31" s="397">
        <v>64000</v>
      </c>
      <c r="K31" s="397">
        <v>64000</v>
      </c>
      <c r="L31" s="397">
        <v>0</v>
      </c>
      <c r="M31" s="397">
        <v>0</v>
      </c>
      <c r="N31" s="398"/>
      <c r="O31" s="352">
        <f t="shared" ref="O31:O39" si="5">+I31-(SUM(J31:N31))</f>
        <v>672000</v>
      </c>
    </row>
    <row r="32" spans="1:15" s="353" customFormat="1" ht="168.75" x14ac:dyDescent="0.2">
      <c r="A32" s="346">
        <v>14</v>
      </c>
      <c r="B32" s="347" t="s">
        <v>2151</v>
      </c>
      <c r="C32" s="396" t="s">
        <v>2152</v>
      </c>
      <c r="D32" s="396" t="s">
        <v>2153</v>
      </c>
      <c r="E32" s="350" t="s">
        <v>1810</v>
      </c>
      <c r="F32" s="350" t="s">
        <v>161</v>
      </c>
      <c r="G32" s="350" t="s">
        <v>2154</v>
      </c>
      <c r="H32" s="351" t="s">
        <v>2292</v>
      </c>
      <c r="I32" s="397">
        <v>1785000</v>
      </c>
      <c r="J32" s="397">
        <v>0</v>
      </c>
      <c r="K32" s="397">
        <v>0</v>
      </c>
      <c r="L32" s="397">
        <v>0</v>
      </c>
      <c r="M32" s="397">
        <v>0</v>
      </c>
      <c r="N32" s="398" t="s">
        <v>1786</v>
      </c>
      <c r="O32" s="352">
        <f t="shared" si="5"/>
        <v>1785000</v>
      </c>
    </row>
    <row r="33" spans="1:15" s="353" customFormat="1" ht="131.25" x14ac:dyDescent="0.2">
      <c r="A33" s="346">
        <v>15</v>
      </c>
      <c r="B33" s="347" t="s">
        <v>2151</v>
      </c>
      <c r="C33" s="396" t="s">
        <v>2152</v>
      </c>
      <c r="D33" s="396" t="s">
        <v>2153</v>
      </c>
      <c r="E33" s="350" t="s">
        <v>2165</v>
      </c>
      <c r="F33" s="350" t="s">
        <v>161</v>
      </c>
      <c r="G33" s="350" t="s">
        <v>2154</v>
      </c>
      <c r="H33" s="351" t="s">
        <v>2293</v>
      </c>
      <c r="I33" s="397">
        <v>699050</v>
      </c>
      <c r="J33" s="397">
        <v>0</v>
      </c>
      <c r="K33" s="397">
        <v>0</v>
      </c>
      <c r="L33" s="397">
        <v>0</v>
      </c>
      <c r="M33" s="397">
        <v>0</v>
      </c>
      <c r="N33" s="398" t="s">
        <v>1786</v>
      </c>
      <c r="O33" s="352">
        <f t="shared" si="5"/>
        <v>699050</v>
      </c>
    </row>
    <row r="34" spans="1:15" s="353" customFormat="1" ht="187.5" x14ac:dyDescent="0.2">
      <c r="A34" s="346">
        <v>16</v>
      </c>
      <c r="B34" s="347" t="s">
        <v>2166</v>
      </c>
      <c r="C34" s="396" t="s">
        <v>2167</v>
      </c>
      <c r="D34" s="396" t="s">
        <v>2168</v>
      </c>
      <c r="E34" s="350" t="s">
        <v>1789</v>
      </c>
      <c r="F34" s="350" t="s">
        <v>161</v>
      </c>
      <c r="G34" s="350" t="s">
        <v>2154</v>
      </c>
      <c r="H34" s="351" t="s">
        <v>2294</v>
      </c>
      <c r="I34" s="397">
        <v>63019</v>
      </c>
      <c r="J34" s="397">
        <v>0</v>
      </c>
      <c r="K34" s="397">
        <v>0</v>
      </c>
      <c r="L34" s="397">
        <v>0</v>
      </c>
      <c r="M34" s="397">
        <v>0</v>
      </c>
      <c r="N34" s="398" t="s">
        <v>1786</v>
      </c>
      <c r="O34" s="352">
        <f t="shared" si="5"/>
        <v>63019</v>
      </c>
    </row>
    <row r="35" spans="1:15" s="353" customFormat="1" ht="168.75" x14ac:dyDescent="0.2">
      <c r="A35" s="346">
        <v>17</v>
      </c>
      <c r="B35" s="347" t="s">
        <v>2166</v>
      </c>
      <c r="C35" s="396" t="s">
        <v>2167</v>
      </c>
      <c r="D35" s="396" t="s">
        <v>2168</v>
      </c>
      <c r="E35" s="350" t="s">
        <v>1790</v>
      </c>
      <c r="F35" s="350" t="s">
        <v>161</v>
      </c>
      <c r="G35" s="350" t="s">
        <v>930</v>
      </c>
      <c r="H35" s="351" t="s">
        <v>2295</v>
      </c>
      <c r="I35" s="397">
        <v>277835</v>
      </c>
      <c r="J35" s="397">
        <v>0</v>
      </c>
      <c r="K35" s="397">
        <v>0</v>
      </c>
      <c r="L35" s="397">
        <v>0</v>
      </c>
      <c r="M35" s="397">
        <v>0</v>
      </c>
      <c r="N35" s="398" t="s">
        <v>1786</v>
      </c>
      <c r="O35" s="352">
        <f t="shared" si="5"/>
        <v>277835</v>
      </c>
    </row>
    <row r="36" spans="1:15" s="353" customFormat="1" ht="112.5" x14ac:dyDescent="0.2">
      <c r="A36" s="346">
        <v>18</v>
      </c>
      <c r="B36" s="347" t="s">
        <v>2225</v>
      </c>
      <c r="C36" s="396" t="s">
        <v>2226</v>
      </c>
      <c r="D36" s="396" t="s">
        <v>2227</v>
      </c>
      <c r="E36" s="350" t="s">
        <v>957</v>
      </c>
      <c r="F36" s="350" t="s">
        <v>1693</v>
      </c>
      <c r="G36" s="350" t="s">
        <v>1198</v>
      </c>
      <c r="H36" s="351" t="s">
        <v>2287</v>
      </c>
      <c r="I36" s="397">
        <v>36762</v>
      </c>
      <c r="J36" s="397">
        <v>0</v>
      </c>
      <c r="K36" s="397">
        <v>0</v>
      </c>
      <c r="L36" s="397">
        <v>0</v>
      </c>
      <c r="M36" s="397">
        <v>0</v>
      </c>
      <c r="N36" s="398" t="s">
        <v>1631</v>
      </c>
      <c r="O36" s="352">
        <f t="shared" si="5"/>
        <v>36762</v>
      </c>
    </row>
    <row r="37" spans="1:15" s="353" customFormat="1" ht="131.25" x14ac:dyDescent="0.2">
      <c r="A37" s="346">
        <v>19</v>
      </c>
      <c r="B37" s="347" t="s">
        <v>2243</v>
      </c>
      <c r="C37" s="396" t="s">
        <v>2244</v>
      </c>
      <c r="D37" s="396" t="s">
        <v>2245</v>
      </c>
      <c r="E37" s="350" t="s">
        <v>1688</v>
      </c>
      <c r="F37" s="350" t="s">
        <v>161</v>
      </c>
      <c r="G37" s="350" t="s">
        <v>1689</v>
      </c>
      <c r="H37" s="351" t="s">
        <v>2296</v>
      </c>
      <c r="I37" s="397">
        <v>144000</v>
      </c>
      <c r="J37" s="397">
        <v>0</v>
      </c>
      <c r="K37" s="397">
        <v>0</v>
      </c>
      <c r="L37" s="397">
        <v>0</v>
      </c>
      <c r="M37" s="397">
        <v>0</v>
      </c>
      <c r="N37" s="398" t="s">
        <v>1748</v>
      </c>
      <c r="O37" s="352">
        <f t="shared" si="5"/>
        <v>144000</v>
      </c>
    </row>
    <row r="38" spans="1:15" s="353" customFormat="1" ht="112.5" x14ac:dyDescent="0.2">
      <c r="A38" s="346">
        <v>20</v>
      </c>
      <c r="B38" s="347" t="s">
        <v>2270</v>
      </c>
      <c r="C38" s="396" t="s">
        <v>2297</v>
      </c>
      <c r="D38" s="396" t="s">
        <v>2298</v>
      </c>
      <c r="E38" s="350" t="s">
        <v>2165</v>
      </c>
      <c r="F38" s="350" t="s">
        <v>161</v>
      </c>
      <c r="G38" s="350" t="s">
        <v>1198</v>
      </c>
      <c r="H38" s="351" t="s">
        <v>2299</v>
      </c>
      <c r="I38" s="397">
        <v>128250</v>
      </c>
      <c r="J38" s="397">
        <v>6412.5</v>
      </c>
      <c r="K38" s="397">
        <v>6412.5</v>
      </c>
      <c r="L38" s="397">
        <v>0</v>
      </c>
      <c r="M38" s="397">
        <v>0</v>
      </c>
      <c r="N38" s="398">
        <v>0</v>
      </c>
      <c r="O38" s="352">
        <f t="shared" si="5"/>
        <v>115425</v>
      </c>
    </row>
    <row r="39" spans="1:15" s="353" customFormat="1" ht="93.75" x14ac:dyDescent="0.2">
      <c r="A39" s="346">
        <v>21</v>
      </c>
      <c r="B39" s="347" t="s">
        <v>2270</v>
      </c>
      <c r="C39" s="396" t="s">
        <v>2300</v>
      </c>
      <c r="D39" s="396" t="s">
        <v>2301</v>
      </c>
      <c r="E39" s="350" t="s">
        <v>914</v>
      </c>
      <c r="F39" s="350" t="s">
        <v>161</v>
      </c>
      <c r="G39" s="350" t="s">
        <v>2302</v>
      </c>
      <c r="H39" s="351" t="s">
        <v>2303</v>
      </c>
      <c r="I39" s="397">
        <v>19000</v>
      </c>
      <c r="J39" s="397">
        <v>950</v>
      </c>
      <c r="K39" s="397">
        <v>950</v>
      </c>
      <c r="L39" s="397">
        <v>0</v>
      </c>
      <c r="M39" s="397">
        <v>0</v>
      </c>
      <c r="N39" s="398">
        <v>0</v>
      </c>
      <c r="O39" s="352">
        <f t="shared" si="5"/>
        <v>17100</v>
      </c>
    </row>
    <row r="40" spans="1:15" s="395" customFormat="1" x14ac:dyDescent="0.2">
      <c r="A40" s="388" t="s">
        <v>512</v>
      </c>
      <c r="B40" s="389"/>
      <c r="C40" s="390"/>
      <c r="D40" s="390"/>
      <c r="E40" s="391"/>
      <c r="F40" s="391"/>
      <c r="G40" s="391"/>
      <c r="H40" s="392"/>
      <c r="I40" s="393">
        <f>SUM(I41:I44)</f>
        <v>5051998</v>
      </c>
      <c r="J40" s="393">
        <f t="shared" ref="J40:O40" si="6">SUM(J41:J44)</f>
        <v>4500</v>
      </c>
      <c r="K40" s="393">
        <f t="shared" si="6"/>
        <v>4500</v>
      </c>
      <c r="L40" s="393">
        <f t="shared" si="6"/>
        <v>180999</v>
      </c>
      <c r="M40" s="393">
        <f t="shared" si="6"/>
        <v>180999</v>
      </c>
      <c r="N40" s="393">
        <f t="shared" si="6"/>
        <v>0</v>
      </c>
      <c r="O40" s="394">
        <f t="shared" si="6"/>
        <v>4681000</v>
      </c>
    </row>
    <row r="41" spans="1:15" s="353" customFormat="1" ht="131.25" x14ac:dyDescent="0.2">
      <c r="A41" s="346">
        <v>1</v>
      </c>
      <c r="B41" s="347" t="s">
        <v>2045</v>
      </c>
      <c r="C41" s="396" t="s">
        <v>2046</v>
      </c>
      <c r="D41" s="396" t="s">
        <v>2047</v>
      </c>
      <c r="E41" s="350" t="s">
        <v>1268</v>
      </c>
      <c r="F41" s="350" t="s">
        <v>512</v>
      </c>
      <c r="G41" s="350" t="s">
        <v>1269</v>
      </c>
      <c r="H41" s="351" t="s">
        <v>2304</v>
      </c>
      <c r="I41" s="397">
        <f>39447+22551</f>
        <v>61998</v>
      </c>
      <c r="J41" s="397">
        <v>0</v>
      </c>
      <c r="K41" s="397">
        <v>0</v>
      </c>
      <c r="L41" s="397">
        <v>30999</v>
      </c>
      <c r="M41" s="397">
        <v>30999</v>
      </c>
      <c r="N41" s="397"/>
      <c r="O41" s="352">
        <f>+I41-(J41+K41+L41+M41+N41)</f>
        <v>0</v>
      </c>
    </row>
    <row r="42" spans="1:15" s="353" customFormat="1" ht="112.5" x14ac:dyDescent="0.2">
      <c r="A42" s="346">
        <v>2</v>
      </c>
      <c r="B42" s="347" t="s">
        <v>2048</v>
      </c>
      <c r="C42" s="396" t="s">
        <v>2049</v>
      </c>
      <c r="D42" s="396" t="s">
        <v>2050</v>
      </c>
      <c r="E42" s="350" t="s">
        <v>1268</v>
      </c>
      <c r="F42" s="350" t="s">
        <v>156</v>
      </c>
      <c r="G42" s="350" t="s">
        <v>2041</v>
      </c>
      <c r="H42" s="351" t="s">
        <v>2305</v>
      </c>
      <c r="I42" s="397">
        <f>14940+60+69890+110</f>
        <v>85000</v>
      </c>
      <c r="J42" s="397">
        <v>4250</v>
      </c>
      <c r="K42" s="397">
        <v>4250</v>
      </c>
      <c r="L42" s="397">
        <v>0</v>
      </c>
      <c r="M42" s="397">
        <v>0</v>
      </c>
      <c r="N42" s="398"/>
      <c r="O42" s="352">
        <f>+I42-(J42+K42+L42+M42)</f>
        <v>76500</v>
      </c>
    </row>
    <row r="43" spans="1:15" s="353" customFormat="1" ht="112.5" x14ac:dyDescent="0.2">
      <c r="A43" s="346">
        <v>3</v>
      </c>
      <c r="B43" s="347" t="s">
        <v>2169</v>
      </c>
      <c r="C43" s="396" t="s">
        <v>2170</v>
      </c>
      <c r="D43" s="396" t="s">
        <v>2171</v>
      </c>
      <c r="E43" s="350" t="s">
        <v>1268</v>
      </c>
      <c r="F43" s="350" t="s">
        <v>156</v>
      </c>
      <c r="G43" s="350" t="s">
        <v>2041</v>
      </c>
      <c r="H43" s="351" t="s">
        <v>2306</v>
      </c>
      <c r="I43" s="397">
        <v>5000</v>
      </c>
      <c r="J43" s="397">
        <v>250</v>
      </c>
      <c r="K43" s="397">
        <v>250</v>
      </c>
      <c r="L43" s="397">
        <v>0</v>
      </c>
      <c r="M43" s="397">
        <v>0</v>
      </c>
      <c r="N43" s="398"/>
      <c r="O43" s="352">
        <f>+I43-(J43+K43+L43+M43)</f>
        <v>4500</v>
      </c>
    </row>
    <row r="44" spans="1:15" s="353" customFormat="1" ht="112.5" x14ac:dyDescent="0.2">
      <c r="A44" s="346">
        <v>4</v>
      </c>
      <c r="B44" s="347" t="s">
        <v>2307</v>
      </c>
      <c r="C44" s="396" t="s">
        <v>2308</v>
      </c>
      <c r="D44" s="396" t="s">
        <v>2309</v>
      </c>
      <c r="E44" s="350" t="s">
        <v>1268</v>
      </c>
      <c r="F44" s="350" t="s">
        <v>156</v>
      </c>
      <c r="G44" s="350" t="s">
        <v>2310</v>
      </c>
      <c r="H44" s="351" t="s">
        <v>2311</v>
      </c>
      <c r="I44" s="397">
        <v>4900000</v>
      </c>
      <c r="J44" s="397">
        <v>0</v>
      </c>
      <c r="K44" s="397">
        <v>0</v>
      </c>
      <c r="L44" s="397">
        <v>150000</v>
      </c>
      <c r="M44" s="397">
        <v>150000</v>
      </c>
      <c r="N44" s="398"/>
      <c r="O44" s="352">
        <f>+I44-(J44+K44+L44+M44)</f>
        <v>4600000</v>
      </c>
    </row>
    <row r="45" spans="1:15" s="395" customFormat="1" x14ac:dyDescent="0.2">
      <c r="A45" s="388" t="s">
        <v>22</v>
      </c>
      <c r="B45" s="389"/>
      <c r="C45" s="390"/>
      <c r="D45" s="390"/>
      <c r="E45" s="391"/>
      <c r="F45" s="391"/>
      <c r="G45" s="391"/>
      <c r="H45" s="392"/>
      <c r="I45" s="393">
        <f>SUM(I46:I73)</f>
        <v>7753609</v>
      </c>
      <c r="J45" s="393">
        <f t="shared" ref="J45:O45" si="7">SUM(J46:J73)</f>
        <v>75942.5</v>
      </c>
      <c r="K45" s="393">
        <f t="shared" si="7"/>
        <v>75942.5</v>
      </c>
      <c r="L45" s="393">
        <f t="shared" si="7"/>
        <v>26227.5</v>
      </c>
      <c r="M45" s="393">
        <f t="shared" si="7"/>
        <v>26227.5</v>
      </c>
      <c r="N45" s="393">
        <f t="shared" si="7"/>
        <v>0</v>
      </c>
      <c r="O45" s="394">
        <f t="shared" si="7"/>
        <v>7549269</v>
      </c>
    </row>
    <row r="46" spans="1:15" s="353" customFormat="1" ht="75" x14ac:dyDescent="0.2">
      <c r="A46" s="346">
        <v>1</v>
      </c>
      <c r="B46" s="347" t="s">
        <v>2051</v>
      </c>
      <c r="C46" s="396" t="s">
        <v>2052</v>
      </c>
      <c r="D46" s="396" t="s">
        <v>2053</v>
      </c>
      <c r="E46" s="350" t="s">
        <v>451</v>
      </c>
      <c r="F46" s="350" t="s">
        <v>22</v>
      </c>
      <c r="G46" s="350" t="s">
        <v>1859</v>
      </c>
      <c r="H46" s="351" t="s">
        <v>2312</v>
      </c>
      <c r="I46" s="397">
        <f>40500+40500</f>
        <v>81000</v>
      </c>
      <c r="J46" s="397">
        <v>6480</v>
      </c>
      <c r="K46" s="397">
        <v>6480</v>
      </c>
      <c r="L46" s="397">
        <v>0</v>
      </c>
      <c r="M46" s="397">
        <v>0</v>
      </c>
      <c r="N46" s="397"/>
      <c r="O46" s="352">
        <f>+I46-(J46+K46+L46+M46+N46)</f>
        <v>68040</v>
      </c>
    </row>
    <row r="47" spans="1:15" s="353" customFormat="1" ht="168.75" x14ac:dyDescent="0.2">
      <c r="A47" s="346">
        <v>2</v>
      </c>
      <c r="B47" s="347" t="s">
        <v>2054</v>
      </c>
      <c r="C47" s="396" t="s">
        <v>2055</v>
      </c>
      <c r="D47" s="396" t="s">
        <v>2056</v>
      </c>
      <c r="E47" s="350" t="s">
        <v>1180</v>
      </c>
      <c r="F47" s="350" t="s">
        <v>22</v>
      </c>
      <c r="G47" s="350" t="s">
        <v>1729</v>
      </c>
      <c r="H47" s="351" t="s">
        <v>2313</v>
      </c>
      <c r="I47" s="397">
        <v>20000</v>
      </c>
      <c r="J47" s="397">
        <v>1600</v>
      </c>
      <c r="K47" s="397">
        <v>1600</v>
      </c>
      <c r="L47" s="397"/>
      <c r="M47" s="397"/>
      <c r="N47" s="397"/>
      <c r="O47" s="352">
        <f>+I47-(J47+K47+L47+M47+N47)</f>
        <v>16800</v>
      </c>
    </row>
    <row r="48" spans="1:15" s="353" customFormat="1" ht="225" x14ac:dyDescent="0.2">
      <c r="A48" s="346">
        <v>3</v>
      </c>
      <c r="B48" s="347" t="s">
        <v>2057</v>
      </c>
      <c r="C48" s="396" t="s">
        <v>2058</v>
      </c>
      <c r="D48" s="396" t="s">
        <v>2059</v>
      </c>
      <c r="E48" s="350" t="s">
        <v>1884</v>
      </c>
      <c r="F48" s="350" t="s">
        <v>22</v>
      </c>
      <c r="G48" s="350" t="s">
        <v>930</v>
      </c>
      <c r="H48" s="351" t="s">
        <v>2314</v>
      </c>
      <c r="I48" s="397">
        <v>392860</v>
      </c>
      <c r="J48" s="397">
        <v>0</v>
      </c>
      <c r="K48" s="397">
        <v>0</v>
      </c>
      <c r="L48" s="397">
        <v>0</v>
      </c>
      <c r="M48" s="397">
        <v>0</v>
      </c>
      <c r="N48" s="398" t="s">
        <v>1786</v>
      </c>
      <c r="O48" s="352">
        <f t="shared" ref="O48:O73" si="8">+I48-(J48+K48+L48+M48)</f>
        <v>392860</v>
      </c>
    </row>
    <row r="49" spans="1:15" s="353" customFormat="1" ht="187.5" x14ac:dyDescent="0.2">
      <c r="A49" s="346">
        <v>4</v>
      </c>
      <c r="B49" s="347" t="s">
        <v>2057</v>
      </c>
      <c r="C49" s="396" t="s">
        <v>2058</v>
      </c>
      <c r="D49" s="396" t="s">
        <v>2059</v>
      </c>
      <c r="E49" s="350" t="s">
        <v>1884</v>
      </c>
      <c r="F49" s="350" t="s">
        <v>22</v>
      </c>
      <c r="G49" s="350" t="s">
        <v>930</v>
      </c>
      <c r="H49" s="351" t="s">
        <v>2315</v>
      </c>
      <c r="I49" s="397">
        <v>681435</v>
      </c>
      <c r="J49" s="397">
        <v>0</v>
      </c>
      <c r="K49" s="397">
        <v>0</v>
      </c>
      <c r="L49" s="397">
        <v>0</v>
      </c>
      <c r="M49" s="397">
        <v>0</v>
      </c>
      <c r="N49" s="398" t="s">
        <v>1786</v>
      </c>
      <c r="O49" s="352">
        <f t="shared" si="8"/>
        <v>681435</v>
      </c>
    </row>
    <row r="50" spans="1:15" s="353" customFormat="1" ht="225" x14ac:dyDescent="0.2">
      <c r="A50" s="346">
        <v>5</v>
      </c>
      <c r="B50" s="347" t="s">
        <v>2035</v>
      </c>
      <c r="C50" s="396" t="s">
        <v>2060</v>
      </c>
      <c r="D50" s="396" t="s">
        <v>2061</v>
      </c>
      <c r="E50" s="350" t="s">
        <v>2062</v>
      </c>
      <c r="F50" s="350" t="s">
        <v>22</v>
      </c>
      <c r="G50" s="350" t="s">
        <v>2063</v>
      </c>
      <c r="H50" s="351" t="s">
        <v>2316</v>
      </c>
      <c r="I50" s="397">
        <v>40000</v>
      </c>
      <c r="J50" s="397">
        <v>0</v>
      </c>
      <c r="K50" s="397">
        <v>0</v>
      </c>
      <c r="L50" s="397">
        <v>0</v>
      </c>
      <c r="M50" s="397">
        <v>0</v>
      </c>
      <c r="N50" s="398" t="s">
        <v>1893</v>
      </c>
      <c r="O50" s="352">
        <f t="shared" si="8"/>
        <v>40000</v>
      </c>
    </row>
    <row r="51" spans="1:15" s="353" customFormat="1" ht="150" x14ac:dyDescent="0.2">
      <c r="A51" s="346">
        <v>6</v>
      </c>
      <c r="B51" s="347" t="s">
        <v>2064</v>
      </c>
      <c r="C51" s="396" t="s">
        <v>2065</v>
      </c>
      <c r="D51" s="396" t="s">
        <v>2066</v>
      </c>
      <c r="E51" s="350" t="s">
        <v>1226</v>
      </c>
      <c r="F51" s="350" t="s">
        <v>22</v>
      </c>
      <c r="G51" s="350" t="s">
        <v>1079</v>
      </c>
      <c r="H51" s="351" t="s">
        <v>2317</v>
      </c>
      <c r="I51" s="397">
        <v>240000</v>
      </c>
      <c r="J51" s="397">
        <v>0</v>
      </c>
      <c r="K51" s="397">
        <v>0</v>
      </c>
      <c r="L51" s="397">
        <v>0</v>
      </c>
      <c r="M51" s="397">
        <v>0</v>
      </c>
      <c r="N51" s="398" t="s">
        <v>1893</v>
      </c>
      <c r="O51" s="352">
        <f t="shared" si="8"/>
        <v>240000</v>
      </c>
    </row>
    <row r="52" spans="1:15" s="353" customFormat="1" ht="112.5" x14ac:dyDescent="0.2">
      <c r="A52" s="346">
        <v>7</v>
      </c>
      <c r="B52" s="347" t="s">
        <v>2019</v>
      </c>
      <c r="C52" s="396" t="s">
        <v>2020</v>
      </c>
      <c r="D52" s="396" t="s">
        <v>2021</v>
      </c>
      <c r="E52" s="350" t="s">
        <v>1894</v>
      </c>
      <c r="F52" s="350" t="s">
        <v>22</v>
      </c>
      <c r="G52" s="350" t="s">
        <v>1763</v>
      </c>
      <c r="H52" s="351" t="s">
        <v>2318</v>
      </c>
      <c r="I52" s="397">
        <v>732320</v>
      </c>
      <c r="J52" s="397">
        <v>0</v>
      </c>
      <c r="K52" s="397">
        <v>0</v>
      </c>
      <c r="L52" s="397">
        <v>0</v>
      </c>
      <c r="M52" s="397">
        <v>0</v>
      </c>
      <c r="N52" s="398" t="s">
        <v>1786</v>
      </c>
      <c r="O52" s="352">
        <f t="shared" si="8"/>
        <v>732320</v>
      </c>
    </row>
    <row r="53" spans="1:15" s="353" customFormat="1" ht="131.25" x14ac:dyDescent="0.2">
      <c r="A53" s="346">
        <v>8</v>
      </c>
      <c r="B53" s="347" t="s">
        <v>2042</v>
      </c>
      <c r="C53" s="396" t="s">
        <v>2067</v>
      </c>
      <c r="D53" s="396" t="s">
        <v>2068</v>
      </c>
      <c r="E53" s="350" t="s">
        <v>1880</v>
      </c>
      <c r="F53" s="350" t="s">
        <v>22</v>
      </c>
      <c r="G53" s="350" t="s">
        <v>1198</v>
      </c>
      <c r="H53" s="351" t="s">
        <v>2319</v>
      </c>
      <c r="I53" s="397">
        <v>266000</v>
      </c>
      <c r="J53" s="397">
        <v>0</v>
      </c>
      <c r="K53" s="397">
        <v>0</v>
      </c>
      <c r="L53" s="397">
        <v>11550</v>
      </c>
      <c r="M53" s="397">
        <v>11550</v>
      </c>
      <c r="N53" s="398"/>
      <c r="O53" s="352">
        <f t="shared" si="8"/>
        <v>242900</v>
      </c>
    </row>
    <row r="54" spans="1:15" s="353" customFormat="1" ht="131.25" x14ac:dyDescent="0.2">
      <c r="A54" s="346">
        <v>9</v>
      </c>
      <c r="B54" s="347" t="s">
        <v>2127</v>
      </c>
      <c r="C54" s="396" t="s">
        <v>2130</v>
      </c>
      <c r="D54" s="396" t="s">
        <v>2131</v>
      </c>
      <c r="E54" s="350" t="s">
        <v>1180</v>
      </c>
      <c r="F54" s="350" t="s">
        <v>22</v>
      </c>
      <c r="G54" s="350" t="s">
        <v>1264</v>
      </c>
      <c r="H54" s="351" t="s">
        <v>2320</v>
      </c>
      <c r="I54" s="397">
        <v>30000</v>
      </c>
      <c r="J54" s="397">
        <v>1500</v>
      </c>
      <c r="K54" s="397">
        <v>1500</v>
      </c>
      <c r="L54" s="397">
        <v>0</v>
      </c>
      <c r="M54" s="397">
        <v>0</v>
      </c>
      <c r="N54" s="398"/>
      <c r="O54" s="352">
        <f t="shared" si="8"/>
        <v>27000</v>
      </c>
    </row>
    <row r="55" spans="1:15" s="353" customFormat="1" ht="131.25" x14ac:dyDescent="0.2">
      <c r="A55" s="346">
        <v>10</v>
      </c>
      <c r="B55" s="347" t="s">
        <v>2127</v>
      </c>
      <c r="C55" s="396" t="s">
        <v>2132</v>
      </c>
      <c r="D55" s="396" t="s">
        <v>2131</v>
      </c>
      <c r="E55" s="350" t="s">
        <v>1180</v>
      </c>
      <c r="F55" s="350" t="s">
        <v>22</v>
      </c>
      <c r="G55" s="350" t="s">
        <v>1264</v>
      </c>
      <c r="H55" s="351" t="s">
        <v>2321</v>
      </c>
      <c r="I55" s="397">
        <v>30000</v>
      </c>
      <c r="J55" s="397">
        <v>1500</v>
      </c>
      <c r="K55" s="397">
        <v>1500</v>
      </c>
      <c r="L55" s="397">
        <v>0</v>
      </c>
      <c r="M55" s="397">
        <v>0</v>
      </c>
      <c r="N55" s="398"/>
      <c r="O55" s="352">
        <f t="shared" si="8"/>
        <v>27000</v>
      </c>
    </row>
    <row r="56" spans="1:15" s="353" customFormat="1" ht="93.75" x14ac:dyDescent="0.2">
      <c r="A56" s="346">
        <v>11</v>
      </c>
      <c r="B56" s="347" t="s">
        <v>2127</v>
      </c>
      <c r="C56" s="396" t="s">
        <v>2133</v>
      </c>
      <c r="D56" s="396" t="s">
        <v>2134</v>
      </c>
      <c r="E56" s="350" t="s">
        <v>2135</v>
      </c>
      <c r="F56" s="350" t="s">
        <v>22</v>
      </c>
      <c r="G56" s="350" t="s">
        <v>1198</v>
      </c>
      <c r="H56" s="351" t="s">
        <v>2322</v>
      </c>
      <c r="I56" s="397">
        <v>128250</v>
      </c>
      <c r="J56" s="397">
        <v>0</v>
      </c>
      <c r="K56" s="397">
        <v>0</v>
      </c>
      <c r="L56" s="397">
        <v>6412.5</v>
      </c>
      <c r="M56" s="397">
        <v>6412.5</v>
      </c>
      <c r="N56" s="398"/>
      <c r="O56" s="352">
        <f t="shared" si="8"/>
        <v>115425</v>
      </c>
    </row>
    <row r="57" spans="1:15" s="353" customFormat="1" ht="112.5" x14ac:dyDescent="0.2">
      <c r="A57" s="346">
        <v>12</v>
      </c>
      <c r="B57" s="347" t="s">
        <v>2139</v>
      </c>
      <c r="C57" s="396" t="s">
        <v>2140</v>
      </c>
      <c r="D57" s="396" t="s">
        <v>2141</v>
      </c>
      <c r="E57" s="350" t="s">
        <v>2142</v>
      </c>
      <c r="F57" s="350" t="s">
        <v>22</v>
      </c>
      <c r="G57" s="350" t="s">
        <v>1198</v>
      </c>
      <c r="H57" s="351" t="s">
        <v>2323</v>
      </c>
      <c r="I57" s="397">
        <v>165300</v>
      </c>
      <c r="J57" s="397">
        <v>0</v>
      </c>
      <c r="K57" s="397">
        <v>0</v>
      </c>
      <c r="L57" s="397">
        <v>8265</v>
      </c>
      <c r="M57" s="397">
        <v>8265</v>
      </c>
      <c r="N57" s="398"/>
      <c r="O57" s="352">
        <f t="shared" si="8"/>
        <v>148770</v>
      </c>
    </row>
    <row r="58" spans="1:15" s="353" customFormat="1" ht="112.5" x14ac:dyDescent="0.2">
      <c r="A58" s="346">
        <v>13</v>
      </c>
      <c r="B58" s="347" t="s">
        <v>2159</v>
      </c>
      <c r="C58" s="396" t="s">
        <v>2172</v>
      </c>
      <c r="D58" s="396" t="s">
        <v>2173</v>
      </c>
      <c r="E58" s="350" t="s">
        <v>2174</v>
      </c>
      <c r="F58" s="350" t="s">
        <v>22</v>
      </c>
      <c r="G58" s="350" t="s">
        <v>1198</v>
      </c>
      <c r="H58" s="351" t="s">
        <v>2324</v>
      </c>
      <c r="I58" s="397">
        <v>71250</v>
      </c>
      <c r="J58" s="397">
        <v>0</v>
      </c>
      <c r="K58" s="397">
        <v>0</v>
      </c>
      <c r="L58" s="397">
        <v>0</v>
      </c>
      <c r="M58" s="397">
        <v>0</v>
      </c>
      <c r="N58" s="398" t="s">
        <v>2325</v>
      </c>
      <c r="O58" s="352">
        <f t="shared" si="8"/>
        <v>71250</v>
      </c>
    </row>
    <row r="59" spans="1:15" s="353" customFormat="1" ht="93.75" x14ac:dyDescent="0.2">
      <c r="A59" s="346">
        <v>14</v>
      </c>
      <c r="B59" s="347" t="s">
        <v>2159</v>
      </c>
      <c r="C59" s="396" t="s">
        <v>2175</v>
      </c>
      <c r="D59" s="396" t="s">
        <v>2176</v>
      </c>
      <c r="E59" s="350" t="s">
        <v>2177</v>
      </c>
      <c r="F59" s="350" t="s">
        <v>22</v>
      </c>
      <c r="G59" s="350" t="s">
        <v>1198</v>
      </c>
      <c r="H59" s="351" t="s">
        <v>2326</v>
      </c>
      <c r="I59" s="397">
        <v>128250</v>
      </c>
      <c r="J59" s="397">
        <v>6412.5</v>
      </c>
      <c r="K59" s="397">
        <v>6412.5</v>
      </c>
      <c r="L59" s="397">
        <v>0</v>
      </c>
      <c r="M59" s="397">
        <v>0</v>
      </c>
      <c r="N59" s="398"/>
      <c r="O59" s="352">
        <f t="shared" si="8"/>
        <v>115425</v>
      </c>
    </row>
    <row r="60" spans="1:15" s="353" customFormat="1" ht="300" x14ac:dyDescent="0.2">
      <c r="A60" s="346">
        <v>15</v>
      </c>
      <c r="B60" s="347" t="s">
        <v>2178</v>
      </c>
      <c r="C60" s="396" t="s">
        <v>2179</v>
      </c>
      <c r="D60" s="396" t="s">
        <v>2180</v>
      </c>
      <c r="E60" s="350" t="s">
        <v>2181</v>
      </c>
      <c r="F60" s="350" t="s">
        <v>22</v>
      </c>
      <c r="G60" s="350" t="s">
        <v>1198</v>
      </c>
      <c r="H60" s="351" t="s">
        <v>2327</v>
      </c>
      <c r="I60" s="397">
        <v>300000</v>
      </c>
      <c r="J60" s="397">
        <v>0</v>
      </c>
      <c r="K60" s="397">
        <v>0</v>
      </c>
      <c r="L60" s="397">
        <v>0</v>
      </c>
      <c r="M60" s="397">
        <v>0</v>
      </c>
      <c r="N60" s="398" t="s">
        <v>2182</v>
      </c>
      <c r="O60" s="352">
        <f t="shared" si="8"/>
        <v>300000</v>
      </c>
    </row>
    <row r="61" spans="1:15" s="353" customFormat="1" ht="262.5" x14ac:dyDescent="0.2">
      <c r="A61" s="346">
        <v>16</v>
      </c>
      <c r="B61" s="347" t="s">
        <v>2178</v>
      </c>
      <c r="C61" s="396" t="s">
        <v>2179</v>
      </c>
      <c r="D61" s="396" t="s">
        <v>2180</v>
      </c>
      <c r="E61" s="350" t="s">
        <v>2183</v>
      </c>
      <c r="F61" s="350" t="s">
        <v>22</v>
      </c>
      <c r="G61" s="350" t="s">
        <v>1198</v>
      </c>
      <c r="H61" s="351" t="s">
        <v>2328</v>
      </c>
      <c r="I61" s="397">
        <v>295200</v>
      </c>
      <c r="J61" s="397">
        <v>0</v>
      </c>
      <c r="K61" s="397">
        <v>0</v>
      </c>
      <c r="L61" s="397">
        <v>0</v>
      </c>
      <c r="M61" s="397">
        <v>0</v>
      </c>
      <c r="N61" s="398" t="s">
        <v>2182</v>
      </c>
      <c r="O61" s="352">
        <f t="shared" si="8"/>
        <v>295200</v>
      </c>
    </row>
    <row r="62" spans="1:15" s="353" customFormat="1" ht="150" x14ac:dyDescent="0.2">
      <c r="A62" s="346">
        <v>17</v>
      </c>
      <c r="B62" s="347" t="s">
        <v>2184</v>
      </c>
      <c r="C62" s="396" t="s">
        <v>2185</v>
      </c>
      <c r="D62" s="396" t="s">
        <v>2186</v>
      </c>
      <c r="E62" s="350" t="s">
        <v>451</v>
      </c>
      <c r="F62" s="350" t="s">
        <v>22</v>
      </c>
      <c r="G62" s="350" t="s">
        <v>2154</v>
      </c>
      <c r="H62" s="351" t="s">
        <v>2329</v>
      </c>
      <c r="I62" s="397">
        <v>428000</v>
      </c>
      <c r="J62" s="397">
        <v>0</v>
      </c>
      <c r="K62" s="397">
        <v>0</v>
      </c>
      <c r="L62" s="397">
        <v>0</v>
      </c>
      <c r="M62" s="397">
        <v>0</v>
      </c>
      <c r="N62" s="398" t="s">
        <v>1786</v>
      </c>
      <c r="O62" s="352">
        <f t="shared" si="8"/>
        <v>428000</v>
      </c>
    </row>
    <row r="63" spans="1:15" s="353" customFormat="1" ht="131.25" x14ac:dyDescent="0.2">
      <c r="A63" s="346">
        <v>18</v>
      </c>
      <c r="B63" s="347" t="s">
        <v>2187</v>
      </c>
      <c r="C63" s="396" t="s">
        <v>2188</v>
      </c>
      <c r="D63" s="396" t="s">
        <v>2189</v>
      </c>
      <c r="E63" s="350" t="s">
        <v>451</v>
      </c>
      <c r="F63" s="350" t="s">
        <v>22</v>
      </c>
      <c r="G63" s="350" t="s">
        <v>1162</v>
      </c>
      <c r="H63" s="351" t="s">
        <v>2330</v>
      </c>
      <c r="I63" s="397">
        <v>19950</v>
      </c>
      <c r="J63" s="397">
        <v>0</v>
      </c>
      <c r="K63" s="397">
        <v>0</v>
      </c>
      <c r="L63" s="397">
        <v>0</v>
      </c>
      <c r="M63" s="397">
        <v>0</v>
      </c>
      <c r="N63" s="398" t="s">
        <v>1911</v>
      </c>
      <c r="O63" s="352">
        <f t="shared" si="8"/>
        <v>19950</v>
      </c>
    </row>
    <row r="64" spans="1:15" s="353" customFormat="1" ht="150" x14ac:dyDescent="0.2">
      <c r="A64" s="346">
        <v>19</v>
      </c>
      <c r="B64" s="347" t="s">
        <v>2151</v>
      </c>
      <c r="C64" s="396" t="s">
        <v>2152</v>
      </c>
      <c r="D64" s="396" t="s">
        <v>2153</v>
      </c>
      <c r="E64" s="350" t="s">
        <v>1894</v>
      </c>
      <c r="F64" s="350" t="s">
        <v>22</v>
      </c>
      <c r="G64" s="350" t="s">
        <v>2154</v>
      </c>
      <c r="H64" s="351" t="s">
        <v>2331</v>
      </c>
      <c r="I64" s="397">
        <v>1681994</v>
      </c>
      <c r="J64" s="397">
        <v>0</v>
      </c>
      <c r="K64" s="397">
        <v>0</v>
      </c>
      <c r="L64" s="397">
        <v>0</v>
      </c>
      <c r="M64" s="397">
        <v>0</v>
      </c>
      <c r="N64" s="398" t="s">
        <v>1786</v>
      </c>
      <c r="O64" s="352">
        <f t="shared" si="8"/>
        <v>1681994</v>
      </c>
    </row>
    <row r="65" spans="1:15" s="353" customFormat="1" ht="168.75" x14ac:dyDescent="0.2">
      <c r="A65" s="346">
        <v>20</v>
      </c>
      <c r="B65" s="347" t="s">
        <v>2151</v>
      </c>
      <c r="C65" s="396" t="s">
        <v>2152</v>
      </c>
      <c r="D65" s="396" t="s">
        <v>2153</v>
      </c>
      <c r="E65" s="350" t="s">
        <v>2190</v>
      </c>
      <c r="F65" s="350" t="s">
        <v>22</v>
      </c>
      <c r="G65" s="350" t="s">
        <v>2154</v>
      </c>
      <c r="H65" s="351" t="s">
        <v>2332</v>
      </c>
      <c r="I65" s="397">
        <v>577800</v>
      </c>
      <c r="J65" s="397">
        <v>0</v>
      </c>
      <c r="K65" s="397">
        <v>0</v>
      </c>
      <c r="L65" s="397">
        <v>0</v>
      </c>
      <c r="M65" s="397">
        <v>0</v>
      </c>
      <c r="N65" s="398" t="s">
        <v>1786</v>
      </c>
      <c r="O65" s="352">
        <f t="shared" si="8"/>
        <v>577800</v>
      </c>
    </row>
    <row r="66" spans="1:15" s="353" customFormat="1" ht="93.75" x14ac:dyDescent="0.2">
      <c r="A66" s="346">
        <v>21</v>
      </c>
      <c r="B66" s="347" t="s">
        <v>2228</v>
      </c>
      <c r="C66" s="396" t="s">
        <v>2229</v>
      </c>
      <c r="D66" s="396" t="s">
        <v>2230</v>
      </c>
      <c r="E66" s="350" t="s">
        <v>2231</v>
      </c>
      <c r="F66" s="350" t="s">
        <v>22</v>
      </c>
      <c r="G66" s="350" t="s">
        <v>1897</v>
      </c>
      <c r="H66" s="351" t="s">
        <v>2333</v>
      </c>
      <c r="I66" s="397">
        <f>45000+405000</f>
        <v>450000</v>
      </c>
      <c r="J66" s="397">
        <v>22500</v>
      </c>
      <c r="K66" s="397">
        <v>22500</v>
      </c>
      <c r="L66" s="397">
        <v>0</v>
      </c>
      <c r="M66" s="397">
        <v>0</v>
      </c>
      <c r="N66" s="398"/>
      <c r="O66" s="352">
        <f t="shared" si="8"/>
        <v>405000</v>
      </c>
    </row>
    <row r="67" spans="1:15" s="353" customFormat="1" ht="112.5" x14ac:dyDescent="0.2">
      <c r="A67" s="346">
        <v>22</v>
      </c>
      <c r="B67" s="347" t="s">
        <v>2228</v>
      </c>
      <c r="C67" s="396" t="s">
        <v>2232</v>
      </c>
      <c r="D67" s="396" t="s">
        <v>2233</v>
      </c>
      <c r="E67" s="350" t="s">
        <v>746</v>
      </c>
      <c r="F67" s="350" t="s">
        <v>22</v>
      </c>
      <c r="G67" s="350" t="s">
        <v>1897</v>
      </c>
      <c r="H67" s="351" t="s">
        <v>2334</v>
      </c>
      <c r="I67" s="397">
        <f>405000+45000</f>
        <v>450000</v>
      </c>
      <c r="J67" s="397">
        <v>22500</v>
      </c>
      <c r="K67" s="397">
        <v>22500</v>
      </c>
      <c r="L67" s="397">
        <v>0</v>
      </c>
      <c r="M67" s="397">
        <v>0</v>
      </c>
      <c r="N67" s="398"/>
      <c r="O67" s="352">
        <f t="shared" si="8"/>
        <v>405000</v>
      </c>
    </row>
    <row r="68" spans="1:15" s="353" customFormat="1" ht="131.25" x14ac:dyDescent="0.2">
      <c r="A68" s="346">
        <v>23</v>
      </c>
      <c r="B68" s="347" t="s">
        <v>2225</v>
      </c>
      <c r="C68" s="396" t="s">
        <v>2234</v>
      </c>
      <c r="D68" s="396" t="s">
        <v>2235</v>
      </c>
      <c r="E68" s="350" t="s">
        <v>1880</v>
      </c>
      <c r="F68" s="350" t="s">
        <v>22</v>
      </c>
      <c r="G68" s="350" t="s">
        <v>1198</v>
      </c>
      <c r="H68" s="351" t="s">
        <v>2335</v>
      </c>
      <c r="I68" s="397">
        <v>35000</v>
      </c>
      <c r="J68" s="397">
        <v>0</v>
      </c>
      <c r="K68" s="397">
        <v>0</v>
      </c>
      <c r="L68" s="397">
        <v>0</v>
      </c>
      <c r="M68" s="397">
        <v>0</v>
      </c>
      <c r="N68" s="398" t="s">
        <v>1631</v>
      </c>
      <c r="O68" s="352">
        <f t="shared" si="8"/>
        <v>35000</v>
      </c>
    </row>
    <row r="69" spans="1:15" s="353" customFormat="1" ht="131.25" x14ac:dyDescent="0.2">
      <c r="A69" s="346">
        <v>24</v>
      </c>
      <c r="B69" s="347" t="s">
        <v>2246</v>
      </c>
      <c r="C69" s="396" t="s">
        <v>2247</v>
      </c>
      <c r="D69" s="396" t="s">
        <v>2248</v>
      </c>
      <c r="E69" s="350" t="s">
        <v>451</v>
      </c>
      <c r="F69" s="350" t="s">
        <v>22</v>
      </c>
      <c r="G69" s="350" t="s">
        <v>2249</v>
      </c>
      <c r="H69" s="351" t="s">
        <v>2336</v>
      </c>
      <c r="I69" s="397">
        <v>64000</v>
      </c>
      <c r="J69" s="397">
        <v>3200</v>
      </c>
      <c r="K69" s="397">
        <v>3200</v>
      </c>
      <c r="L69" s="397">
        <v>0</v>
      </c>
      <c r="M69" s="397">
        <v>0</v>
      </c>
      <c r="N69" s="398"/>
      <c r="O69" s="352">
        <f t="shared" si="8"/>
        <v>57600</v>
      </c>
    </row>
    <row r="70" spans="1:15" s="353" customFormat="1" ht="168.75" x14ac:dyDescent="0.2">
      <c r="A70" s="346">
        <v>25</v>
      </c>
      <c r="B70" s="347" t="s">
        <v>2243</v>
      </c>
      <c r="C70" s="396" t="s">
        <v>2244</v>
      </c>
      <c r="D70" s="396" t="s">
        <v>2245</v>
      </c>
      <c r="E70" s="350" t="s">
        <v>1724</v>
      </c>
      <c r="F70" s="350" t="s">
        <v>22</v>
      </c>
      <c r="G70" s="350" t="s">
        <v>1689</v>
      </c>
      <c r="H70" s="351" t="s">
        <v>1966</v>
      </c>
      <c r="I70" s="397">
        <v>240000</v>
      </c>
      <c r="J70" s="397">
        <v>0</v>
      </c>
      <c r="K70" s="397">
        <v>0</v>
      </c>
      <c r="L70" s="397">
        <v>0</v>
      </c>
      <c r="M70" s="397">
        <v>0</v>
      </c>
      <c r="N70" s="398" t="s">
        <v>1748</v>
      </c>
      <c r="O70" s="352">
        <f t="shared" si="8"/>
        <v>240000</v>
      </c>
    </row>
    <row r="71" spans="1:15" s="353" customFormat="1" ht="131.25" x14ac:dyDescent="0.2">
      <c r="A71" s="346">
        <v>26</v>
      </c>
      <c r="B71" s="347" t="s">
        <v>2337</v>
      </c>
      <c r="C71" s="396" t="s">
        <v>2338</v>
      </c>
      <c r="D71" s="396" t="s">
        <v>2339</v>
      </c>
      <c r="E71" s="350" t="s">
        <v>451</v>
      </c>
      <c r="F71" s="350" t="s">
        <v>22</v>
      </c>
      <c r="G71" s="350" t="s">
        <v>2249</v>
      </c>
      <c r="H71" s="351" t="s">
        <v>2340</v>
      </c>
      <c r="I71" s="397">
        <v>64000</v>
      </c>
      <c r="J71" s="397">
        <v>3200</v>
      </c>
      <c r="K71" s="397">
        <v>3200</v>
      </c>
      <c r="L71" s="397">
        <v>0</v>
      </c>
      <c r="M71" s="397">
        <v>0</v>
      </c>
      <c r="N71" s="398">
        <v>0</v>
      </c>
      <c r="O71" s="352">
        <f t="shared" si="8"/>
        <v>57600</v>
      </c>
    </row>
    <row r="72" spans="1:15" s="353" customFormat="1" ht="150" x14ac:dyDescent="0.2">
      <c r="A72" s="346">
        <v>27</v>
      </c>
      <c r="B72" s="347" t="s">
        <v>2337</v>
      </c>
      <c r="C72" s="396" t="s">
        <v>2341</v>
      </c>
      <c r="D72" s="396" t="s">
        <v>2342</v>
      </c>
      <c r="E72" s="350" t="s">
        <v>2343</v>
      </c>
      <c r="F72" s="350" t="s">
        <v>22</v>
      </c>
      <c r="G72" s="350" t="s">
        <v>2249</v>
      </c>
      <c r="H72" s="351" t="s">
        <v>2344</v>
      </c>
      <c r="I72" s="397">
        <v>21000</v>
      </c>
      <c r="J72" s="397">
        <v>1050</v>
      </c>
      <c r="K72" s="397">
        <v>1050</v>
      </c>
      <c r="L72" s="397">
        <v>0</v>
      </c>
      <c r="M72" s="397">
        <v>0</v>
      </c>
      <c r="N72" s="398">
        <v>0</v>
      </c>
      <c r="O72" s="352">
        <f t="shared" si="8"/>
        <v>18900</v>
      </c>
    </row>
    <row r="73" spans="1:15" s="353" customFormat="1" ht="131.25" x14ac:dyDescent="0.2">
      <c r="A73" s="346">
        <v>28</v>
      </c>
      <c r="B73" s="347" t="s">
        <v>2270</v>
      </c>
      <c r="C73" s="396" t="s">
        <v>2345</v>
      </c>
      <c r="D73" s="396" t="s">
        <v>2346</v>
      </c>
      <c r="E73" s="350" t="s">
        <v>1167</v>
      </c>
      <c r="F73" s="350" t="s">
        <v>22</v>
      </c>
      <c r="G73" s="350" t="s">
        <v>2347</v>
      </c>
      <c r="H73" s="351" t="s">
        <v>2348</v>
      </c>
      <c r="I73" s="397">
        <v>120000</v>
      </c>
      <c r="J73" s="397">
        <v>6000</v>
      </c>
      <c r="K73" s="397">
        <v>6000</v>
      </c>
      <c r="L73" s="397">
        <v>0</v>
      </c>
      <c r="M73" s="397">
        <v>0</v>
      </c>
      <c r="N73" s="398"/>
      <c r="O73" s="352">
        <f t="shared" si="8"/>
        <v>108000</v>
      </c>
    </row>
    <row r="74" spans="1:15" s="395" customFormat="1" x14ac:dyDescent="0.2">
      <c r="A74" s="388" t="s">
        <v>1229</v>
      </c>
      <c r="B74" s="389"/>
      <c r="C74" s="390"/>
      <c r="D74" s="390"/>
      <c r="E74" s="391"/>
      <c r="F74" s="391"/>
      <c r="G74" s="391"/>
      <c r="H74" s="392"/>
      <c r="I74" s="393">
        <f>SUM(I75:I80)</f>
        <v>1525679</v>
      </c>
      <c r="J74" s="393">
        <f t="shared" ref="J74:O74" si="9">SUM(J75:J80)</f>
        <v>0</v>
      </c>
      <c r="K74" s="393">
        <f t="shared" si="9"/>
        <v>0</v>
      </c>
      <c r="L74" s="393">
        <f t="shared" si="9"/>
        <v>8407.5</v>
      </c>
      <c r="M74" s="393">
        <f t="shared" si="9"/>
        <v>8407.5</v>
      </c>
      <c r="N74" s="393">
        <f t="shared" si="9"/>
        <v>0</v>
      </c>
      <c r="O74" s="394">
        <f t="shared" si="9"/>
        <v>1508864</v>
      </c>
    </row>
    <row r="75" spans="1:15" s="353" customFormat="1" ht="150" x14ac:dyDescent="0.2">
      <c r="A75" s="346">
        <v>1</v>
      </c>
      <c r="B75" s="347" t="s">
        <v>2026</v>
      </c>
      <c r="C75" s="396" t="s">
        <v>2027</v>
      </c>
      <c r="D75" s="396" t="s">
        <v>2028</v>
      </c>
      <c r="E75" s="350" t="s">
        <v>1885</v>
      </c>
      <c r="F75" s="350" t="s">
        <v>1229</v>
      </c>
      <c r="G75" s="350" t="s">
        <v>930</v>
      </c>
      <c r="H75" s="351" t="s">
        <v>2349</v>
      </c>
      <c r="I75" s="397">
        <f>142948+302500</f>
        <v>445448</v>
      </c>
      <c r="J75" s="397">
        <v>0</v>
      </c>
      <c r="K75" s="397">
        <v>0</v>
      </c>
      <c r="L75" s="397">
        <v>0</v>
      </c>
      <c r="M75" s="397">
        <v>0</v>
      </c>
      <c r="N75" s="398" t="s">
        <v>1786</v>
      </c>
      <c r="O75" s="352">
        <f t="shared" ref="O75:O80" si="10">+I75-(J75+K75+L75+M75)</f>
        <v>445448</v>
      </c>
    </row>
    <row r="76" spans="1:15" s="353" customFormat="1" ht="168.75" x14ac:dyDescent="0.2">
      <c r="A76" s="346">
        <v>2</v>
      </c>
      <c r="B76" s="347" t="s">
        <v>2026</v>
      </c>
      <c r="C76" s="396" t="s">
        <v>2027</v>
      </c>
      <c r="D76" s="396" t="s">
        <v>2028</v>
      </c>
      <c r="E76" s="350" t="s">
        <v>1886</v>
      </c>
      <c r="F76" s="350" t="s">
        <v>1229</v>
      </c>
      <c r="G76" s="350" t="s">
        <v>930</v>
      </c>
      <c r="H76" s="351" t="s">
        <v>2350</v>
      </c>
      <c r="I76" s="397">
        <f>168710+302800</f>
        <v>471510</v>
      </c>
      <c r="J76" s="397">
        <v>0</v>
      </c>
      <c r="K76" s="397">
        <v>0</v>
      </c>
      <c r="L76" s="397">
        <v>0</v>
      </c>
      <c r="M76" s="397">
        <v>0</v>
      </c>
      <c r="N76" s="398" t="s">
        <v>1786</v>
      </c>
      <c r="O76" s="352">
        <f t="shared" si="10"/>
        <v>471510</v>
      </c>
    </row>
    <row r="77" spans="1:15" s="353" customFormat="1" ht="150" x14ac:dyDescent="0.2">
      <c r="A77" s="346">
        <v>3</v>
      </c>
      <c r="B77" s="347" t="s">
        <v>2064</v>
      </c>
      <c r="C77" s="396" t="s">
        <v>2065</v>
      </c>
      <c r="D77" s="396" t="s">
        <v>2066</v>
      </c>
      <c r="E77" s="350" t="s">
        <v>1228</v>
      </c>
      <c r="F77" s="350" t="s">
        <v>1229</v>
      </c>
      <c r="G77" s="350" t="s">
        <v>1079</v>
      </c>
      <c r="H77" s="351" t="s">
        <v>2351</v>
      </c>
      <c r="I77" s="397">
        <v>232800</v>
      </c>
      <c r="J77" s="397">
        <v>0</v>
      </c>
      <c r="K77" s="397">
        <v>0</v>
      </c>
      <c r="L77" s="397">
        <v>0</v>
      </c>
      <c r="M77" s="397">
        <v>0</v>
      </c>
      <c r="N77" s="398" t="s">
        <v>1893</v>
      </c>
      <c r="O77" s="352">
        <f t="shared" si="10"/>
        <v>232800</v>
      </c>
    </row>
    <row r="78" spans="1:15" s="353" customFormat="1" ht="93.75" x14ac:dyDescent="0.2">
      <c r="A78" s="346">
        <v>4</v>
      </c>
      <c r="B78" s="347" t="s">
        <v>2069</v>
      </c>
      <c r="C78" s="396" t="s">
        <v>2070</v>
      </c>
      <c r="D78" s="396" t="s">
        <v>2071</v>
      </c>
      <c r="E78" s="350" t="s">
        <v>1885</v>
      </c>
      <c r="F78" s="350" t="s">
        <v>1229</v>
      </c>
      <c r="G78" s="350" t="s">
        <v>1198</v>
      </c>
      <c r="H78" s="351" t="s">
        <v>2352</v>
      </c>
      <c r="I78" s="397">
        <v>168150</v>
      </c>
      <c r="J78" s="397">
        <v>0</v>
      </c>
      <c r="K78" s="397">
        <v>0</v>
      </c>
      <c r="L78" s="397">
        <v>8407.5</v>
      </c>
      <c r="M78" s="397">
        <v>8407.5</v>
      </c>
      <c r="N78" s="398"/>
      <c r="O78" s="352">
        <f t="shared" si="10"/>
        <v>151335</v>
      </c>
    </row>
    <row r="79" spans="1:15" s="353" customFormat="1" ht="150" x14ac:dyDescent="0.2">
      <c r="A79" s="346">
        <v>5</v>
      </c>
      <c r="B79" s="347" t="s">
        <v>2166</v>
      </c>
      <c r="C79" s="396" t="s">
        <v>2167</v>
      </c>
      <c r="D79" s="396" t="s">
        <v>2168</v>
      </c>
      <c r="E79" s="350" t="s">
        <v>1885</v>
      </c>
      <c r="F79" s="350" t="s">
        <v>1229</v>
      </c>
      <c r="G79" s="350" t="s">
        <v>2154</v>
      </c>
      <c r="H79" s="351" t="s">
        <v>2353</v>
      </c>
      <c r="I79" s="397">
        <v>95298</v>
      </c>
      <c r="J79" s="397">
        <v>0</v>
      </c>
      <c r="K79" s="397">
        <v>0</v>
      </c>
      <c r="L79" s="397">
        <v>0</v>
      </c>
      <c r="M79" s="397">
        <v>0</v>
      </c>
      <c r="N79" s="398" t="s">
        <v>1786</v>
      </c>
      <c r="O79" s="352">
        <f t="shared" si="10"/>
        <v>95298</v>
      </c>
    </row>
    <row r="80" spans="1:15" s="353" customFormat="1" ht="168.75" x14ac:dyDescent="0.2">
      <c r="A80" s="346">
        <v>6</v>
      </c>
      <c r="B80" s="347" t="s">
        <v>2166</v>
      </c>
      <c r="C80" s="396" t="s">
        <v>2167</v>
      </c>
      <c r="D80" s="396" t="s">
        <v>2168</v>
      </c>
      <c r="E80" s="350" t="s">
        <v>1886</v>
      </c>
      <c r="F80" s="350" t="s">
        <v>1229</v>
      </c>
      <c r="G80" s="350" t="s">
        <v>2154</v>
      </c>
      <c r="H80" s="351" t="s">
        <v>2354</v>
      </c>
      <c r="I80" s="397">
        <v>112473</v>
      </c>
      <c r="J80" s="397">
        <v>0</v>
      </c>
      <c r="K80" s="397">
        <v>0</v>
      </c>
      <c r="L80" s="397">
        <v>0</v>
      </c>
      <c r="M80" s="397">
        <v>0</v>
      </c>
      <c r="N80" s="398" t="s">
        <v>1786</v>
      </c>
      <c r="O80" s="352">
        <f t="shared" si="10"/>
        <v>112473</v>
      </c>
    </row>
    <row r="81" spans="1:15" s="395" customFormat="1" x14ac:dyDescent="0.2">
      <c r="A81" s="388" t="s">
        <v>308</v>
      </c>
      <c r="B81" s="389"/>
      <c r="C81" s="390"/>
      <c r="D81" s="390"/>
      <c r="E81" s="391"/>
      <c r="F81" s="391"/>
      <c r="G81" s="391"/>
      <c r="H81" s="392"/>
      <c r="I81" s="393">
        <f>SUM(I82:I84)</f>
        <v>662200</v>
      </c>
      <c r="J81" s="393">
        <f t="shared" ref="J81:O81" si="11">SUM(J82:J84)</f>
        <v>0</v>
      </c>
      <c r="K81" s="393">
        <f t="shared" si="11"/>
        <v>0</v>
      </c>
      <c r="L81" s="393">
        <f t="shared" si="11"/>
        <v>4895</v>
      </c>
      <c r="M81" s="393">
        <f t="shared" si="11"/>
        <v>4895</v>
      </c>
      <c r="N81" s="393">
        <f t="shared" si="11"/>
        <v>0</v>
      </c>
      <c r="O81" s="394">
        <f t="shared" si="11"/>
        <v>652410</v>
      </c>
    </row>
    <row r="82" spans="1:15" s="353" customFormat="1" ht="225" x14ac:dyDescent="0.2">
      <c r="A82" s="346">
        <v>1</v>
      </c>
      <c r="B82" s="347" t="s">
        <v>2038</v>
      </c>
      <c r="C82" s="396" t="s">
        <v>2072</v>
      </c>
      <c r="D82" s="396" t="s">
        <v>2073</v>
      </c>
      <c r="E82" s="350" t="s">
        <v>1762</v>
      </c>
      <c r="F82" s="350" t="s">
        <v>308</v>
      </c>
      <c r="G82" s="350" t="s">
        <v>1763</v>
      </c>
      <c r="H82" s="351" t="s">
        <v>2355</v>
      </c>
      <c r="I82" s="397">
        <v>434300</v>
      </c>
      <c r="J82" s="397">
        <v>0</v>
      </c>
      <c r="K82" s="397">
        <v>0</v>
      </c>
      <c r="L82" s="397">
        <v>0</v>
      </c>
      <c r="M82" s="397">
        <v>0</v>
      </c>
      <c r="N82" s="398" t="s">
        <v>1742</v>
      </c>
      <c r="O82" s="352">
        <f>+I82-(J82+K82+L82+M82)</f>
        <v>434300</v>
      </c>
    </row>
    <row r="83" spans="1:15" s="353" customFormat="1" ht="93.75" x14ac:dyDescent="0.2">
      <c r="A83" s="346">
        <v>2</v>
      </c>
      <c r="B83" s="347" t="s">
        <v>2042</v>
      </c>
      <c r="C83" s="396" t="s">
        <v>2074</v>
      </c>
      <c r="D83" s="396" t="s">
        <v>2075</v>
      </c>
      <c r="E83" s="350" t="s">
        <v>1774</v>
      </c>
      <c r="F83" s="350" t="s">
        <v>308</v>
      </c>
      <c r="G83" s="350" t="s">
        <v>1198</v>
      </c>
      <c r="H83" s="351" t="s">
        <v>2356</v>
      </c>
      <c r="I83" s="397">
        <v>201400</v>
      </c>
      <c r="J83" s="397">
        <v>0</v>
      </c>
      <c r="K83" s="397">
        <v>0</v>
      </c>
      <c r="L83" s="397">
        <v>4895</v>
      </c>
      <c r="M83" s="397">
        <v>4895</v>
      </c>
      <c r="N83" s="398"/>
      <c r="O83" s="352">
        <f>+I83-(J83+K83+L83+M83)</f>
        <v>191610</v>
      </c>
    </row>
    <row r="84" spans="1:15" s="353" customFormat="1" ht="93.75" x14ac:dyDescent="0.2">
      <c r="A84" s="346">
        <v>3</v>
      </c>
      <c r="B84" s="347" t="s">
        <v>2337</v>
      </c>
      <c r="C84" s="396" t="s">
        <v>2357</v>
      </c>
      <c r="D84" s="396" t="s">
        <v>2358</v>
      </c>
      <c r="E84" s="350" t="s">
        <v>1774</v>
      </c>
      <c r="F84" s="350" t="s">
        <v>308</v>
      </c>
      <c r="G84" s="350" t="s">
        <v>1198</v>
      </c>
      <c r="H84" s="351" t="s">
        <v>2359</v>
      </c>
      <c r="I84" s="397">
        <v>26500</v>
      </c>
      <c r="J84" s="397">
        <v>0</v>
      </c>
      <c r="K84" s="397">
        <v>0</v>
      </c>
      <c r="L84" s="397">
        <v>0</v>
      </c>
      <c r="M84" s="397">
        <v>0</v>
      </c>
      <c r="N84" s="398" t="s">
        <v>1631</v>
      </c>
      <c r="O84" s="352">
        <f>+I84-(SUM(J84:N84))</f>
        <v>26500</v>
      </c>
    </row>
    <row r="85" spans="1:15" s="395" customFormat="1" x14ac:dyDescent="0.2">
      <c r="A85" s="388" t="s">
        <v>19</v>
      </c>
      <c r="B85" s="389"/>
      <c r="C85" s="390"/>
      <c r="D85" s="390"/>
      <c r="E85" s="391"/>
      <c r="F85" s="391"/>
      <c r="G85" s="391"/>
      <c r="H85" s="392"/>
      <c r="I85" s="393">
        <f>SUM(I86:I94)</f>
        <v>2444000</v>
      </c>
      <c r="J85" s="393">
        <f t="shared" ref="J85:O85" si="12">SUM(J86:J94)</f>
        <v>24200</v>
      </c>
      <c r="K85" s="393">
        <f t="shared" si="12"/>
        <v>24200</v>
      </c>
      <c r="L85" s="393">
        <f t="shared" si="12"/>
        <v>8550</v>
      </c>
      <c r="M85" s="393">
        <f t="shared" si="12"/>
        <v>8550</v>
      </c>
      <c r="N85" s="393">
        <f t="shared" si="12"/>
        <v>0</v>
      </c>
      <c r="O85" s="394">
        <f t="shared" si="12"/>
        <v>2378500</v>
      </c>
    </row>
    <row r="86" spans="1:15" s="353" customFormat="1" ht="131.25" x14ac:dyDescent="0.2">
      <c r="A86" s="346">
        <v>1</v>
      </c>
      <c r="B86" s="347" t="s">
        <v>2076</v>
      </c>
      <c r="C86" s="396" t="s">
        <v>2077</v>
      </c>
      <c r="D86" s="396" t="s">
        <v>2078</v>
      </c>
      <c r="E86" s="350" t="s">
        <v>199</v>
      </c>
      <c r="F86" s="350" t="s">
        <v>19</v>
      </c>
      <c r="G86" s="350" t="s">
        <v>1752</v>
      </c>
      <c r="H86" s="351" t="s">
        <v>2360</v>
      </c>
      <c r="I86" s="397">
        <v>45000</v>
      </c>
      <c r="J86" s="397">
        <v>3600</v>
      </c>
      <c r="K86" s="397">
        <v>3600</v>
      </c>
      <c r="L86" s="397">
        <v>0</v>
      </c>
      <c r="M86" s="397">
        <v>0</v>
      </c>
      <c r="N86" s="397"/>
      <c r="O86" s="352">
        <f>+I86-(J86+K86+L86+M86+N86)</f>
        <v>37800</v>
      </c>
    </row>
    <row r="87" spans="1:15" s="353" customFormat="1" ht="131.25" x14ac:dyDescent="0.2">
      <c r="A87" s="346">
        <v>2</v>
      </c>
      <c r="B87" s="347" t="s">
        <v>2076</v>
      </c>
      <c r="C87" s="396" t="s">
        <v>2079</v>
      </c>
      <c r="D87" s="396" t="s">
        <v>2078</v>
      </c>
      <c r="E87" s="350" t="s">
        <v>199</v>
      </c>
      <c r="F87" s="350" t="s">
        <v>19</v>
      </c>
      <c r="G87" s="350" t="s">
        <v>1752</v>
      </c>
      <c r="H87" s="351" t="s">
        <v>2361</v>
      </c>
      <c r="I87" s="397">
        <v>45000</v>
      </c>
      <c r="J87" s="397">
        <v>3600</v>
      </c>
      <c r="K87" s="397">
        <v>3600</v>
      </c>
      <c r="L87" s="397">
        <v>0</v>
      </c>
      <c r="M87" s="397">
        <v>0</v>
      </c>
      <c r="N87" s="397"/>
      <c r="O87" s="352">
        <f>+I87-(J87+K87+L87+M87+N87)</f>
        <v>37800</v>
      </c>
    </row>
    <row r="88" spans="1:15" s="353" customFormat="1" ht="112.5" x14ac:dyDescent="0.2">
      <c r="A88" s="346">
        <v>3</v>
      </c>
      <c r="B88" s="347" t="s">
        <v>2127</v>
      </c>
      <c r="C88" s="396" t="s">
        <v>2136</v>
      </c>
      <c r="D88" s="396" t="s">
        <v>2137</v>
      </c>
      <c r="E88" s="350" t="s">
        <v>2138</v>
      </c>
      <c r="F88" s="350" t="s">
        <v>19</v>
      </c>
      <c r="G88" s="350" t="s">
        <v>1198</v>
      </c>
      <c r="H88" s="351" t="s">
        <v>2362</v>
      </c>
      <c r="I88" s="397">
        <v>171000</v>
      </c>
      <c r="J88" s="397">
        <v>0</v>
      </c>
      <c r="K88" s="397">
        <v>0</v>
      </c>
      <c r="L88" s="397">
        <v>8550</v>
      </c>
      <c r="M88" s="397">
        <v>8550</v>
      </c>
      <c r="N88" s="398"/>
      <c r="O88" s="352">
        <f>+I88-(J88+K88+L88+M88)</f>
        <v>153900</v>
      </c>
    </row>
    <row r="89" spans="1:15" s="353" customFormat="1" ht="225" x14ac:dyDescent="0.2">
      <c r="A89" s="346">
        <v>4</v>
      </c>
      <c r="B89" s="347" t="s">
        <v>2191</v>
      </c>
      <c r="C89" s="396" t="s">
        <v>2192</v>
      </c>
      <c r="D89" s="396" t="s">
        <v>2193</v>
      </c>
      <c r="E89" s="350" t="s">
        <v>2194</v>
      </c>
      <c r="F89" s="350" t="s">
        <v>19</v>
      </c>
      <c r="G89" s="350" t="s">
        <v>2195</v>
      </c>
      <c r="H89" s="351" t="s">
        <v>2363</v>
      </c>
      <c r="I89" s="397">
        <v>204000</v>
      </c>
      <c r="J89" s="397">
        <v>10200</v>
      </c>
      <c r="K89" s="397">
        <v>10200</v>
      </c>
      <c r="L89" s="397">
        <v>0</v>
      </c>
      <c r="M89" s="397">
        <v>0</v>
      </c>
      <c r="N89" s="398"/>
      <c r="O89" s="352">
        <f>+I89-(J89+K89+L89+M89)</f>
        <v>183600</v>
      </c>
    </row>
    <row r="90" spans="1:15" s="353" customFormat="1" ht="131.25" x14ac:dyDescent="0.2">
      <c r="A90" s="346">
        <v>5</v>
      </c>
      <c r="B90" s="347" t="s">
        <v>2184</v>
      </c>
      <c r="C90" s="396" t="s">
        <v>2196</v>
      </c>
      <c r="D90" s="396" t="s">
        <v>2197</v>
      </c>
      <c r="E90" s="350" t="s">
        <v>2138</v>
      </c>
      <c r="F90" s="350" t="s">
        <v>19</v>
      </c>
      <c r="G90" s="350" t="s">
        <v>1763</v>
      </c>
      <c r="H90" s="351" t="s">
        <v>2364</v>
      </c>
      <c r="I90" s="397">
        <v>450000</v>
      </c>
      <c r="J90" s="397">
        <v>0</v>
      </c>
      <c r="K90" s="397">
        <v>0</v>
      </c>
      <c r="L90" s="397">
        <v>0</v>
      </c>
      <c r="M90" s="397">
        <v>0</v>
      </c>
      <c r="N90" s="398" t="s">
        <v>1786</v>
      </c>
      <c r="O90" s="352">
        <f>+I90-(SUM(J90:N90))</f>
        <v>450000</v>
      </c>
    </row>
    <row r="91" spans="1:15" s="353" customFormat="1" ht="225" x14ac:dyDescent="0.2">
      <c r="A91" s="346">
        <v>6</v>
      </c>
      <c r="B91" s="347" t="s">
        <v>2184</v>
      </c>
      <c r="C91" s="396" t="s">
        <v>2196</v>
      </c>
      <c r="D91" s="396" t="s">
        <v>2197</v>
      </c>
      <c r="E91" s="350" t="s">
        <v>2138</v>
      </c>
      <c r="F91" s="350" t="s">
        <v>19</v>
      </c>
      <c r="G91" s="350" t="s">
        <v>1763</v>
      </c>
      <c r="H91" s="351" t="s">
        <v>2365</v>
      </c>
      <c r="I91" s="397">
        <v>672000</v>
      </c>
      <c r="J91" s="397">
        <v>0</v>
      </c>
      <c r="K91" s="397">
        <v>0</v>
      </c>
      <c r="L91" s="397">
        <v>0</v>
      </c>
      <c r="M91" s="397">
        <v>0</v>
      </c>
      <c r="N91" s="398" t="s">
        <v>1786</v>
      </c>
      <c r="O91" s="352">
        <f>+I91-(SUM(J91:N91))</f>
        <v>672000</v>
      </c>
    </row>
    <row r="92" spans="1:15" s="353" customFormat="1" ht="187.5" x14ac:dyDescent="0.2">
      <c r="A92" s="346">
        <v>7</v>
      </c>
      <c r="B92" s="347" t="s">
        <v>2184</v>
      </c>
      <c r="C92" s="396" t="s">
        <v>2196</v>
      </c>
      <c r="D92" s="396" t="s">
        <v>2197</v>
      </c>
      <c r="E92" s="350" t="s">
        <v>2198</v>
      </c>
      <c r="F92" s="350" t="s">
        <v>19</v>
      </c>
      <c r="G92" s="350" t="s">
        <v>1763</v>
      </c>
      <c r="H92" s="351" t="s">
        <v>2366</v>
      </c>
      <c r="I92" s="397">
        <v>672000</v>
      </c>
      <c r="J92" s="397">
        <v>0</v>
      </c>
      <c r="K92" s="397">
        <v>0</v>
      </c>
      <c r="L92" s="397">
        <v>0</v>
      </c>
      <c r="M92" s="397">
        <v>0</v>
      </c>
      <c r="N92" s="398" t="s">
        <v>1786</v>
      </c>
      <c r="O92" s="352">
        <f>+I92-(SUM(J92:N92))</f>
        <v>672000</v>
      </c>
    </row>
    <row r="93" spans="1:15" s="353" customFormat="1" ht="187.5" x14ac:dyDescent="0.2">
      <c r="A93" s="346">
        <v>8</v>
      </c>
      <c r="B93" s="347" t="s">
        <v>2236</v>
      </c>
      <c r="C93" s="396" t="s">
        <v>2237</v>
      </c>
      <c r="D93" s="396" t="s">
        <v>2238</v>
      </c>
      <c r="E93" s="350" t="s">
        <v>1202</v>
      </c>
      <c r="F93" s="350" t="s">
        <v>19</v>
      </c>
      <c r="G93" s="350" t="s">
        <v>1799</v>
      </c>
      <c r="H93" s="351" t="s">
        <v>2367</v>
      </c>
      <c r="I93" s="397">
        <v>49000</v>
      </c>
      <c r="J93" s="397">
        <v>0</v>
      </c>
      <c r="K93" s="397">
        <v>0</v>
      </c>
      <c r="L93" s="397">
        <v>0</v>
      </c>
      <c r="M93" s="397">
        <v>0</v>
      </c>
      <c r="N93" s="398" t="s">
        <v>1837</v>
      </c>
      <c r="O93" s="352">
        <f>+I93-(SUM(J93:N93))</f>
        <v>49000</v>
      </c>
    </row>
    <row r="94" spans="1:15" s="353" customFormat="1" ht="225" x14ac:dyDescent="0.2">
      <c r="A94" s="346">
        <v>9</v>
      </c>
      <c r="B94" s="347" t="s">
        <v>2270</v>
      </c>
      <c r="C94" s="396" t="s">
        <v>2368</v>
      </c>
      <c r="D94" s="396" t="s">
        <v>2369</v>
      </c>
      <c r="E94" s="350" t="s">
        <v>2194</v>
      </c>
      <c r="F94" s="350" t="s">
        <v>19</v>
      </c>
      <c r="G94" s="350" t="s">
        <v>2195</v>
      </c>
      <c r="H94" s="351" t="s">
        <v>2370</v>
      </c>
      <c r="I94" s="397">
        <v>136000</v>
      </c>
      <c r="J94" s="397">
        <v>6800</v>
      </c>
      <c r="K94" s="397">
        <v>6800</v>
      </c>
      <c r="L94" s="397">
        <v>0</v>
      </c>
      <c r="M94" s="397">
        <v>0</v>
      </c>
      <c r="N94" s="398">
        <v>0</v>
      </c>
      <c r="O94" s="352">
        <f>+I94-(SUM(J94:N94))</f>
        <v>122400</v>
      </c>
    </row>
    <row r="95" spans="1:15" s="395" customFormat="1" x14ac:dyDescent="0.2">
      <c r="A95" s="388" t="s">
        <v>1067</v>
      </c>
      <c r="B95" s="389"/>
      <c r="C95" s="390"/>
      <c r="D95" s="390"/>
      <c r="E95" s="391"/>
      <c r="F95" s="391"/>
      <c r="G95" s="391"/>
      <c r="H95" s="392"/>
      <c r="I95" s="393">
        <f>SUM(I96:I115)</f>
        <v>4988510</v>
      </c>
      <c r="J95" s="393">
        <f t="shared" ref="J95:O95" si="13">SUM(J96:J115)</f>
        <v>247370</v>
      </c>
      <c r="K95" s="393">
        <f t="shared" si="13"/>
        <v>247370</v>
      </c>
      <c r="L95" s="393">
        <f t="shared" si="13"/>
        <v>5700</v>
      </c>
      <c r="M95" s="393">
        <f t="shared" si="13"/>
        <v>5700</v>
      </c>
      <c r="N95" s="393">
        <f t="shared" si="13"/>
        <v>0</v>
      </c>
      <c r="O95" s="394">
        <f t="shared" si="13"/>
        <v>4482370</v>
      </c>
    </row>
    <row r="96" spans="1:15" s="353" customFormat="1" ht="93.75" x14ac:dyDescent="0.2">
      <c r="A96" s="346">
        <v>1</v>
      </c>
      <c r="B96" s="347" t="s">
        <v>2080</v>
      </c>
      <c r="C96" s="396" t="s">
        <v>2081</v>
      </c>
      <c r="D96" s="396" t="s">
        <v>2082</v>
      </c>
      <c r="E96" s="350" t="s">
        <v>115</v>
      </c>
      <c r="F96" s="350" t="s">
        <v>117</v>
      </c>
      <c r="G96" s="350" t="s">
        <v>289</v>
      </c>
      <c r="H96" s="351" t="s">
        <v>1766</v>
      </c>
      <c r="I96" s="397">
        <v>85000</v>
      </c>
      <c r="J96" s="397">
        <v>6800</v>
      </c>
      <c r="K96" s="397">
        <v>6800</v>
      </c>
      <c r="L96" s="397">
        <v>0</v>
      </c>
      <c r="M96" s="397">
        <v>0</v>
      </c>
      <c r="N96" s="397"/>
      <c r="O96" s="352">
        <f>+I96-(J96+K96+L96+M96+N96)</f>
        <v>71400</v>
      </c>
    </row>
    <row r="97" spans="1:15" s="353" customFormat="1" ht="112.5" x14ac:dyDescent="0.2">
      <c r="A97" s="346">
        <v>2</v>
      </c>
      <c r="B97" s="347" t="s">
        <v>2083</v>
      </c>
      <c r="C97" s="396" t="s">
        <v>2084</v>
      </c>
      <c r="D97" s="396" t="s">
        <v>2085</v>
      </c>
      <c r="E97" s="350" t="s">
        <v>302</v>
      </c>
      <c r="F97" s="350" t="s">
        <v>117</v>
      </c>
      <c r="G97" s="350" t="s">
        <v>444</v>
      </c>
      <c r="H97" s="351" t="s">
        <v>2086</v>
      </c>
      <c r="I97" s="397">
        <f>30000+60000</f>
        <v>90000</v>
      </c>
      <c r="J97" s="397">
        <v>7200</v>
      </c>
      <c r="K97" s="397">
        <v>7200</v>
      </c>
      <c r="L97" s="397">
        <v>0</v>
      </c>
      <c r="M97" s="397">
        <v>0</v>
      </c>
      <c r="N97" s="397"/>
      <c r="O97" s="352">
        <f>+I97-(J97+K97+L97+M97+N97)</f>
        <v>75600</v>
      </c>
    </row>
    <row r="98" spans="1:15" s="353" customFormat="1" ht="150" x14ac:dyDescent="0.2">
      <c r="A98" s="346">
        <v>3</v>
      </c>
      <c r="B98" s="347" t="s">
        <v>2083</v>
      </c>
      <c r="C98" s="396" t="s">
        <v>2087</v>
      </c>
      <c r="D98" s="396" t="s">
        <v>2088</v>
      </c>
      <c r="E98" s="350" t="s">
        <v>115</v>
      </c>
      <c r="F98" s="350" t="s">
        <v>117</v>
      </c>
      <c r="G98" s="350" t="s">
        <v>318</v>
      </c>
      <c r="H98" s="351" t="s">
        <v>2371</v>
      </c>
      <c r="I98" s="397">
        <v>1250</v>
      </c>
      <c r="J98" s="397">
        <v>0</v>
      </c>
      <c r="K98" s="397">
        <v>0</v>
      </c>
      <c r="L98" s="397">
        <v>0</v>
      </c>
      <c r="M98" s="397">
        <v>0</v>
      </c>
      <c r="N98" s="398" t="s">
        <v>1631</v>
      </c>
      <c r="O98" s="352">
        <f>+I98-(J98+K98+L98+M98)</f>
        <v>1250</v>
      </c>
    </row>
    <row r="99" spans="1:15" s="353" customFormat="1" ht="93.75" x14ac:dyDescent="0.2">
      <c r="A99" s="346">
        <v>4</v>
      </c>
      <c r="B99" s="347" t="s">
        <v>2083</v>
      </c>
      <c r="C99" s="396" t="s">
        <v>2089</v>
      </c>
      <c r="D99" s="396" t="s">
        <v>2090</v>
      </c>
      <c r="E99" s="350" t="s">
        <v>115</v>
      </c>
      <c r="F99" s="350" t="s">
        <v>117</v>
      </c>
      <c r="G99" s="350" t="s">
        <v>941</v>
      </c>
      <c r="H99" s="351" t="s">
        <v>1766</v>
      </c>
      <c r="I99" s="397">
        <f>50000+178000</f>
        <v>228000</v>
      </c>
      <c r="J99" s="397">
        <v>18240</v>
      </c>
      <c r="K99" s="397">
        <v>18240</v>
      </c>
      <c r="L99" s="397">
        <v>0</v>
      </c>
      <c r="M99" s="397">
        <v>0</v>
      </c>
      <c r="N99" s="397"/>
      <c r="O99" s="352">
        <f>+I99-(J99+K99+L99+M99+N99)</f>
        <v>191520</v>
      </c>
    </row>
    <row r="100" spans="1:15" s="353" customFormat="1" ht="93.75" x14ac:dyDescent="0.2">
      <c r="A100" s="346">
        <v>5</v>
      </c>
      <c r="B100" s="347" t="s">
        <v>2091</v>
      </c>
      <c r="C100" s="396" t="s">
        <v>2092</v>
      </c>
      <c r="D100" s="396" t="s">
        <v>2093</v>
      </c>
      <c r="E100" s="350" t="s">
        <v>115</v>
      </c>
      <c r="F100" s="350" t="s">
        <v>117</v>
      </c>
      <c r="G100" s="350" t="s">
        <v>2094</v>
      </c>
      <c r="H100" s="351" t="s">
        <v>1766</v>
      </c>
      <c r="I100" s="397">
        <f>577000+69000</f>
        <v>646000</v>
      </c>
      <c r="J100" s="397">
        <v>51680</v>
      </c>
      <c r="K100" s="397">
        <v>51680</v>
      </c>
      <c r="L100" s="397">
        <v>0</v>
      </c>
      <c r="M100" s="397">
        <v>0</v>
      </c>
      <c r="N100" s="397"/>
      <c r="O100" s="352">
        <f>+I100-(J100+K100+L100+M100+N100)</f>
        <v>542640</v>
      </c>
    </row>
    <row r="101" spans="1:15" s="353" customFormat="1" ht="93.75" x14ac:dyDescent="0.2">
      <c r="A101" s="346">
        <v>6</v>
      </c>
      <c r="B101" s="347" t="s">
        <v>2095</v>
      </c>
      <c r="C101" s="396" t="s">
        <v>2096</v>
      </c>
      <c r="D101" s="396" t="s">
        <v>2097</v>
      </c>
      <c r="E101" s="350" t="s">
        <v>115</v>
      </c>
      <c r="F101" s="350" t="s">
        <v>117</v>
      </c>
      <c r="G101" s="350" t="s">
        <v>318</v>
      </c>
      <c r="H101" s="351" t="s">
        <v>1766</v>
      </c>
      <c r="I101" s="397">
        <v>19000</v>
      </c>
      <c r="J101" s="397">
        <v>1520</v>
      </c>
      <c r="K101" s="397">
        <v>1520</v>
      </c>
      <c r="L101" s="397">
        <v>0</v>
      </c>
      <c r="M101" s="397">
        <v>0</v>
      </c>
      <c r="N101" s="397"/>
      <c r="O101" s="352">
        <f>+I101-(J101+K101+L101+M101+N101)</f>
        <v>15960</v>
      </c>
    </row>
    <row r="102" spans="1:15" s="353" customFormat="1" ht="93.75" x14ac:dyDescent="0.2">
      <c r="A102" s="346">
        <v>7</v>
      </c>
      <c r="B102" s="347" t="s">
        <v>2098</v>
      </c>
      <c r="C102" s="396" t="s">
        <v>2099</v>
      </c>
      <c r="D102" s="396" t="s">
        <v>2100</v>
      </c>
      <c r="E102" s="350" t="s">
        <v>115</v>
      </c>
      <c r="F102" s="350" t="s">
        <v>117</v>
      </c>
      <c r="G102" s="350" t="s">
        <v>326</v>
      </c>
      <c r="H102" s="351" t="s">
        <v>1766</v>
      </c>
      <c r="I102" s="397">
        <f>25000+20000+19000+20000+40000</f>
        <v>124000</v>
      </c>
      <c r="J102" s="397">
        <v>9920</v>
      </c>
      <c r="K102" s="397">
        <v>9920</v>
      </c>
      <c r="L102" s="397">
        <v>0</v>
      </c>
      <c r="M102" s="397">
        <v>0</v>
      </c>
      <c r="N102" s="397"/>
      <c r="O102" s="352">
        <f>+I102-(J102+K102+L102+M102+N102)</f>
        <v>104160</v>
      </c>
    </row>
    <row r="103" spans="1:15" s="353" customFormat="1" ht="187.5" x14ac:dyDescent="0.2">
      <c r="A103" s="346">
        <v>8</v>
      </c>
      <c r="B103" s="347" t="s">
        <v>2057</v>
      </c>
      <c r="C103" s="396" t="s">
        <v>2058</v>
      </c>
      <c r="D103" s="396" t="s">
        <v>2059</v>
      </c>
      <c r="E103" s="350" t="s">
        <v>1785</v>
      </c>
      <c r="F103" s="350" t="s">
        <v>117</v>
      </c>
      <c r="G103" s="350" t="s">
        <v>930</v>
      </c>
      <c r="H103" s="351" t="s">
        <v>2372</v>
      </c>
      <c r="I103" s="397">
        <v>242860</v>
      </c>
      <c r="J103" s="397">
        <v>0</v>
      </c>
      <c r="K103" s="397">
        <v>0</v>
      </c>
      <c r="L103" s="397">
        <v>0</v>
      </c>
      <c r="M103" s="397">
        <v>0</v>
      </c>
      <c r="N103" s="398" t="s">
        <v>1786</v>
      </c>
      <c r="O103" s="352">
        <f t="shared" ref="O103:O108" si="14">+I103-(J103+K103+L103+M103)</f>
        <v>242860</v>
      </c>
    </row>
    <row r="104" spans="1:15" s="353" customFormat="1" ht="93.75" x14ac:dyDescent="0.2">
      <c r="A104" s="346">
        <v>9</v>
      </c>
      <c r="B104" s="347" t="s">
        <v>2035</v>
      </c>
      <c r="C104" s="396" t="s">
        <v>2101</v>
      </c>
      <c r="D104" s="396" t="s">
        <v>2102</v>
      </c>
      <c r="E104" s="350" t="s">
        <v>115</v>
      </c>
      <c r="F104" s="350" t="s">
        <v>117</v>
      </c>
      <c r="G104" s="350" t="s">
        <v>318</v>
      </c>
      <c r="H104" s="351" t="s">
        <v>1766</v>
      </c>
      <c r="I104" s="397">
        <v>17000</v>
      </c>
      <c r="J104" s="397">
        <v>1360</v>
      </c>
      <c r="K104" s="397">
        <v>1360</v>
      </c>
      <c r="L104" s="397">
        <v>0</v>
      </c>
      <c r="M104" s="397">
        <v>0</v>
      </c>
      <c r="N104" s="398"/>
      <c r="O104" s="352">
        <f t="shared" si="14"/>
        <v>14280</v>
      </c>
    </row>
    <row r="105" spans="1:15" s="353" customFormat="1" ht="168.75" x14ac:dyDescent="0.2">
      <c r="A105" s="346">
        <v>10</v>
      </c>
      <c r="B105" s="347" t="s">
        <v>2064</v>
      </c>
      <c r="C105" s="396" t="s">
        <v>2065</v>
      </c>
      <c r="D105" s="396" t="s">
        <v>2066</v>
      </c>
      <c r="E105" s="350" t="s">
        <v>1078</v>
      </c>
      <c r="F105" s="350" t="s">
        <v>1067</v>
      </c>
      <c r="G105" s="350" t="s">
        <v>1079</v>
      </c>
      <c r="H105" s="351" t="s">
        <v>2373</v>
      </c>
      <c r="I105" s="397">
        <v>240000</v>
      </c>
      <c r="J105" s="397">
        <v>0</v>
      </c>
      <c r="K105" s="397">
        <v>0</v>
      </c>
      <c r="L105" s="397">
        <v>0</v>
      </c>
      <c r="M105" s="397">
        <v>0</v>
      </c>
      <c r="N105" s="398" t="s">
        <v>1893</v>
      </c>
      <c r="O105" s="352">
        <f t="shared" si="14"/>
        <v>240000</v>
      </c>
    </row>
    <row r="106" spans="1:15" s="353" customFormat="1" ht="93.75" x14ac:dyDescent="0.2">
      <c r="A106" s="346">
        <v>11</v>
      </c>
      <c r="B106" s="347" t="s">
        <v>2127</v>
      </c>
      <c r="C106" s="396" t="s">
        <v>2143</v>
      </c>
      <c r="D106" s="396" t="s">
        <v>2144</v>
      </c>
      <c r="E106" s="350" t="s">
        <v>115</v>
      </c>
      <c r="F106" s="350" t="s">
        <v>117</v>
      </c>
      <c r="G106" s="350" t="s">
        <v>318</v>
      </c>
      <c r="H106" s="351" t="s">
        <v>1766</v>
      </c>
      <c r="I106" s="397">
        <v>20000</v>
      </c>
      <c r="J106" s="397">
        <v>1000</v>
      </c>
      <c r="K106" s="397">
        <v>1000</v>
      </c>
      <c r="L106" s="397">
        <v>0</v>
      </c>
      <c r="M106" s="397">
        <v>0</v>
      </c>
      <c r="N106" s="398"/>
      <c r="O106" s="352">
        <f t="shared" si="14"/>
        <v>18000</v>
      </c>
    </row>
    <row r="107" spans="1:15" s="353" customFormat="1" ht="93.75" x14ac:dyDescent="0.2">
      <c r="A107" s="346">
        <v>12</v>
      </c>
      <c r="B107" s="347" t="s">
        <v>2159</v>
      </c>
      <c r="C107" s="396" t="s">
        <v>2199</v>
      </c>
      <c r="D107" s="396" t="s">
        <v>2200</v>
      </c>
      <c r="E107" s="350" t="s">
        <v>2201</v>
      </c>
      <c r="F107" s="350" t="s">
        <v>117</v>
      </c>
      <c r="G107" s="350" t="s">
        <v>1198</v>
      </c>
      <c r="H107" s="351" t="s">
        <v>2374</v>
      </c>
      <c r="I107" s="397">
        <v>114000</v>
      </c>
      <c r="J107" s="397">
        <v>0</v>
      </c>
      <c r="K107" s="397">
        <v>0</v>
      </c>
      <c r="L107" s="397">
        <v>5700</v>
      </c>
      <c r="M107" s="397">
        <v>5700</v>
      </c>
      <c r="N107" s="398"/>
      <c r="O107" s="352">
        <f t="shared" si="14"/>
        <v>102600</v>
      </c>
    </row>
    <row r="108" spans="1:15" s="353" customFormat="1" ht="93.75" x14ac:dyDescent="0.2">
      <c r="A108" s="346">
        <v>13</v>
      </c>
      <c r="B108" s="347" t="s">
        <v>2202</v>
      </c>
      <c r="C108" s="396" t="s">
        <v>2203</v>
      </c>
      <c r="D108" s="396" t="s">
        <v>2204</v>
      </c>
      <c r="E108" s="350" t="s">
        <v>115</v>
      </c>
      <c r="F108" s="350" t="s">
        <v>117</v>
      </c>
      <c r="G108" s="350" t="s">
        <v>318</v>
      </c>
      <c r="H108" s="351" t="s">
        <v>1766</v>
      </c>
      <c r="I108" s="397">
        <v>20000</v>
      </c>
      <c r="J108" s="397">
        <v>1000</v>
      </c>
      <c r="K108" s="397">
        <v>1000</v>
      </c>
      <c r="L108" s="397">
        <v>0</v>
      </c>
      <c r="M108" s="397">
        <v>0</v>
      </c>
      <c r="N108" s="398"/>
      <c r="O108" s="352">
        <f t="shared" si="14"/>
        <v>18000</v>
      </c>
    </row>
    <row r="109" spans="1:15" s="353" customFormat="1" ht="150" x14ac:dyDescent="0.2">
      <c r="A109" s="346">
        <v>14</v>
      </c>
      <c r="B109" s="347" t="s">
        <v>2184</v>
      </c>
      <c r="C109" s="396" t="s">
        <v>2185</v>
      </c>
      <c r="D109" s="396" t="s">
        <v>2186</v>
      </c>
      <c r="E109" s="350" t="s">
        <v>2205</v>
      </c>
      <c r="F109" s="350" t="s">
        <v>117</v>
      </c>
      <c r="G109" s="350" t="s">
        <v>1763</v>
      </c>
      <c r="H109" s="351" t="s">
        <v>2375</v>
      </c>
      <c r="I109" s="397">
        <v>168400</v>
      </c>
      <c r="J109" s="397">
        <v>0</v>
      </c>
      <c r="K109" s="397">
        <v>0</v>
      </c>
      <c r="L109" s="397">
        <v>0</v>
      </c>
      <c r="M109" s="397">
        <v>0</v>
      </c>
      <c r="N109" s="398" t="s">
        <v>1786</v>
      </c>
      <c r="O109" s="352">
        <f t="shared" ref="O109:O115" si="15">+I109-(SUM(J109:N109))</f>
        <v>168400</v>
      </c>
    </row>
    <row r="110" spans="1:15" s="353" customFormat="1" ht="93.75" x14ac:dyDescent="0.2">
      <c r="A110" s="346">
        <v>15</v>
      </c>
      <c r="B110" s="347" t="s">
        <v>2243</v>
      </c>
      <c r="C110" s="396" t="s">
        <v>2250</v>
      </c>
      <c r="D110" s="396" t="s">
        <v>2251</v>
      </c>
      <c r="E110" s="350" t="s">
        <v>115</v>
      </c>
      <c r="F110" s="350" t="s">
        <v>117</v>
      </c>
      <c r="G110" s="350" t="s">
        <v>303</v>
      </c>
      <c r="H110" s="351" t="s">
        <v>1766</v>
      </c>
      <c r="I110" s="397">
        <v>45000</v>
      </c>
      <c r="J110" s="397">
        <v>2250</v>
      </c>
      <c r="K110" s="397">
        <v>2250</v>
      </c>
      <c r="L110" s="397">
        <v>0</v>
      </c>
      <c r="M110" s="397">
        <v>0</v>
      </c>
      <c r="N110" s="398"/>
      <c r="O110" s="352">
        <f t="shared" si="15"/>
        <v>40500</v>
      </c>
    </row>
    <row r="111" spans="1:15" s="353" customFormat="1" ht="93.75" x14ac:dyDescent="0.2">
      <c r="A111" s="346">
        <v>16</v>
      </c>
      <c r="B111" s="347" t="s">
        <v>2376</v>
      </c>
      <c r="C111" s="396" t="s">
        <v>2377</v>
      </c>
      <c r="D111" s="396" t="s">
        <v>2378</v>
      </c>
      <c r="E111" s="350" t="s">
        <v>115</v>
      </c>
      <c r="F111" s="350" t="s">
        <v>117</v>
      </c>
      <c r="G111" s="350" t="s">
        <v>2379</v>
      </c>
      <c r="H111" s="351" t="s">
        <v>1766</v>
      </c>
      <c r="I111" s="397">
        <v>20000</v>
      </c>
      <c r="J111" s="397">
        <v>1000</v>
      </c>
      <c r="K111" s="397">
        <v>1000</v>
      </c>
      <c r="L111" s="397">
        <v>0</v>
      </c>
      <c r="M111" s="397">
        <v>0</v>
      </c>
      <c r="N111" s="398">
        <v>0</v>
      </c>
      <c r="O111" s="352">
        <f t="shared" si="15"/>
        <v>18000</v>
      </c>
    </row>
    <row r="112" spans="1:15" s="353" customFormat="1" ht="93.75" x14ac:dyDescent="0.2">
      <c r="A112" s="346">
        <v>17</v>
      </c>
      <c r="B112" s="347" t="s">
        <v>2270</v>
      </c>
      <c r="C112" s="396" t="s">
        <v>2380</v>
      </c>
      <c r="D112" s="396" t="s">
        <v>2381</v>
      </c>
      <c r="E112" s="350" t="s">
        <v>115</v>
      </c>
      <c r="F112" s="350" t="s">
        <v>117</v>
      </c>
      <c r="G112" s="350" t="s">
        <v>554</v>
      </c>
      <c r="H112" s="351" t="s">
        <v>1766</v>
      </c>
      <c r="I112" s="397">
        <v>476000</v>
      </c>
      <c r="J112" s="397">
        <v>23800</v>
      </c>
      <c r="K112" s="397">
        <v>23800</v>
      </c>
      <c r="L112" s="397">
        <v>0</v>
      </c>
      <c r="M112" s="397">
        <v>0</v>
      </c>
      <c r="N112" s="398">
        <v>0</v>
      </c>
      <c r="O112" s="352">
        <f t="shared" si="15"/>
        <v>428400</v>
      </c>
    </row>
    <row r="113" spans="1:16" s="353" customFormat="1" ht="112.5" x14ac:dyDescent="0.2">
      <c r="A113" s="346">
        <v>18</v>
      </c>
      <c r="B113" s="347" t="s">
        <v>2270</v>
      </c>
      <c r="C113" s="396" t="s">
        <v>2382</v>
      </c>
      <c r="D113" s="396" t="s">
        <v>2383</v>
      </c>
      <c r="E113" s="350" t="s">
        <v>302</v>
      </c>
      <c r="F113" s="350" t="s">
        <v>117</v>
      </c>
      <c r="G113" s="350" t="s">
        <v>318</v>
      </c>
      <c r="H113" s="351" t="s">
        <v>2384</v>
      </c>
      <c r="I113" s="397">
        <v>25000</v>
      </c>
      <c r="J113" s="397">
        <v>1250</v>
      </c>
      <c r="K113" s="397">
        <v>1250</v>
      </c>
      <c r="L113" s="397">
        <v>0</v>
      </c>
      <c r="M113" s="397">
        <v>0</v>
      </c>
      <c r="N113" s="398">
        <v>0</v>
      </c>
      <c r="O113" s="352">
        <f t="shared" si="15"/>
        <v>22500</v>
      </c>
    </row>
    <row r="114" spans="1:16" s="353" customFormat="1" ht="93.75" x14ac:dyDescent="0.2">
      <c r="A114" s="346">
        <v>19</v>
      </c>
      <c r="B114" s="347" t="s">
        <v>2270</v>
      </c>
      <c r="C114" s="396" t="s">
        <v>2385</v>
      </c>
      <c r="D114" s="396" t="s">
        <v>2386</v>
      </c>
      <c r="E114" s="350" t="s">
        <v>115</v>
      </c>
      <c r="F114" s="350" t="s">
        <v>117</v>
      </c>
      <c r="G114" s="350" t="s">
        <v>318</v>
      </c>
      <c r="H114" s="351" t="s">
        <v>1766</v>
      </c>
      <c r="I114" s="397">
        <v>20000</v>
      </c>
      <c r="J114" s="397">
        <v>1000</v>
      </c>
      <c r="K114" s="397">
        <v>1000</v>
      </c>
      <c r="L114" s="397">
        <v>0</v>
      </c>
      <c r="M114" s="397">
        <v>0</v>
      </c>
      <c r="N114" s="398">
        <v>0</v>
      </c>
      <c r="O114" s="352">
        <f t="shared" si="15"/>
        <v>18000</v>
      </c>
    </row>
    <row r="115" spans="1:16" s="353" customFormat="1" ht="93.75" x14ac:dyDescent="0.2">
      <c r="A115" s="346">
        <v>20</v>
      </c>
      <c r="B115" s="347" t="s">
        <v>2387</v>
      </c>
      <c r="C115" s="396" t="s">
        <v>1109</v>
      </c>
      <c r="D115" s="396" t="s">
        <v>2388</v>
      </c>
      <c r="E115" s="350" t="s">
        <v>115</v>
      </c>
      <c r="F115" s="350" t="s">
        <v>117</v>
      </c>
      <c r="G115" s="350" t="s">
        <v>2389</v>
      </c>
      <c r="H115" s="351" t="s">
        <v>1766</v>
      </c>
      <c r="I115" s="397">
        <v>2387000</v>
      </c>
      <c r="J115" s="397">
        <v>119350</v>
      </c>
      <c r="K115" s="397">
        <v>119350</v>
      </c>
      <c r="L115" s="397">
        <v>0</v>
      </c>
      <c r="M115" s="397">
        <v>0</v>
      </c>
      <c r="N115" s="398">
        <v>0</v>
      </c>
      <c r="O115" s="352">
        <f t="shared" si="15"/>
        <v>2148300</v>
      </c>
    </row>
    <row r="116" spans="1:16" s="395" customFormat="1" x14ac:dyDescent="0.2">
      <c r="A116" s="388" t="s">
        <v>2209</v>
      </c>
      <c r="B116" s="389"/>
      <c r="C116" s="390"/>
      <c r="D116" s="390"/>
      <c r="E116" s="391"/>
      <c r="F116" s="391"/>
      <c r="G116" s="391"/>
      <c r="H116" s="392"/>
      <c r="I116" s="393">
        <f>SUM(I117:I123)</f>
        <v>1822112.8199999998</v>
      </c>
      <c r="J116" s="393">
        <f t="shared" ref="J116:O116" si="16">SUM(J117:J123)</f>
        <v>0</v>
      </c>
      <c r="K116" s="393">
        <f t="shared" si="16"/>
        <v>0</v>
      </c>
      <c r="L116" s="393">
        <f t="shared" si="16"/>
        <v>51506.909999999996</v>
      </c>
      <c r="M116" s="393">
        <f t="shared" si="16"/>
        <v>51506.909999999996</v>
      </c>
      <c r="N116" s="393">
        <f t="shared" si="16"/>
        <v>0</v>
      </c>
      <c r="O116" s="394">
        <f t="shared" si="16"/>
        <v>1719099</v>
      </c>
    </row>
    <row r="117" spans="1:16" s="353" customFormat="1" ht="168.75" x14ac:dyDescent="0.2">
      <c r="A117" s="346">
        <v>1</v>
      </c>
      <c r="B117" s="347" t="s">
        <v>2103</v>
      </c>
      <c r="C117" s="396" t="s">
        <v>2104</v>
      </c>
      <c r="D117" s="396" t="s">
        <v>2105</v>
      </c>
      <c r="E117" s="350" t="s">
        <v>1704</v>
      </c>
      <c r="F117" s="350" t="s">
        <v>706</v>
      </c>
      <c r="G117" s="350" t="s">
        <v>309</v>
      </c>
      <c r="H117" s="351" t="s">
        <v>1705</v>
      </c>
      <c r="I117" s="397">
        <v>24897.119999999999</v>
      </c>
      <c r="J117" s="397">
        <v>0</v>
      </c>
      <c r="K117" s="397">
        <v>0</v>
      </c>
      <c r="L117" s="397">
        <v>12448.56</v>
      </c>
      <c r="M117" s="397">
        <v>12448.56</v>
      </c>
      <c r="N117" s="397"/>
      <c r="O117" s="352">
        <f>+I117-(J117+K117+L117+M117+N117)</f>
        <v>0</v>
      </c>
    </row>
    <row r="118" spans="1:16" s="353" customFormat="1" ht="206.25" x14ac:dyDescent="0.2">
      <c r="A118" s="346">
        <v>2</v>
      </c>
      <c r="B118" s="347" t="s">
        <v>2057</v>
      </c>
      <c r="C118" s="396" t="s">
        <v>2058</v>
      </c>
      <c r="D118" s="396" t="s">
        <v>2059</v>
      </c>
      <c r="E118" s="350" t="s">
        <v>705</v>
      </c>
      <c r="F118" s="350" t="s">
        <v>706</v>
      </c>
      <c r="G118" s="350" t="s">
        <v>930</v>
      </c>
      <c r="H118" s="351" t="s">
        <v>2390</v>
      </c>
      <c r="I118" s="397">
        <v>194645</v>
      </c>
      <c r="J118" s="397">
        <v>0</v>
      </c>
      <c r="K118" s="397">
        <v>0</v>
      </c>
      <c r="L118" s="397">
        <v>0</v>
      </c>
      <c r="M118" s="397">
        <v>0</v>
      </c>
      <c r="N118" s="398" t="s">
        <v>1786</v>
      </c>
      <c r="O118" s="352">
        <f t="shared" ref="O118:O123" si="17">+I118-(J118+K118+L118+M118)</f>
        <v>194645</v>
      </c>
    </row>
    <row r="119" spans="1:16" s="353" customFormat="1" ht="131.25" x14ac:dyDescent="0.2">
      <c r="A119" s="346">
        <v>3</v>
      </c>
      <c r="B119" s="347" t="s">
        <v>2106</v>
      </c>
      <c r="C119" s="396" t="s">
        <v>2107</v>
      </c>
      <c r="D119" s="396" t="s">
        <v>2108</v>
      </c>
      <c r="E119" s="350" t="s">
        <v>2109</v>
      </c>
      <c r="F119" s="350" t="s">
        <v>1567</v>
      </c>
      <c r="G119" s="350" t="s">
        <v>1568</v>
      </c>
      <c r="H119" s="351" t="s">
        <v>2391</v>
      </c>
      <c r="I119" s="397">
        <f>140001+489998</f>
        <v>629999</v>
      </c>
      <c r="J119" s="397">
        <v>0</v>
      </c>
      <c r="K119" s="397">
        <v>0</v>
      </c>
      <c r="L119" s="397">
        <v>15909</v>
      </c>
      <c r="M119" s="397">
        <v>15909</v>
      </c>
      <c r="N119" s="398"/>
      <c r="O119" s="352">
        <f t="shared" si="17"/>
        <v>598181</v>
      </c>
    </row>
    <row r="120" spans="1:16" s="353" customFormat="1" ht="243.75" x14ac:dyDescent="0.2">
      <c r="A120" s="346">
        <v>4</v>
      </c>
      <c r="B120" s="347" t="s">
        <v>2106</v>
      </c>
      <c r="C120" s="396" t="s">
        <v>2110</v>
      </c>
      <c r="D120" s="396" t="s">
        <v>2111</v>
      </c>
      <c r="E120" s="350" t="s">
        <v>1733</v>
      </c>
      <c r="F120" s="350" t="s">
        <v>706</v>
      </c>
      <c r="G120" s="350" t="s">
        <v>309</v>
      </c>
      <c r="H120" s="351" t="s">
        <v>1734</v>
      </c>
      <c r="I120" s="397">
        <v>14480.7</v>
      </c>
      <c r="J120" s="397">
        <v>0</v>
      </c>
      <c r="K120" s="397">
        <v>0</v>
      </c>
      <c r="L120" s="397">
        <v>7240.35</v>
      </c>
      <c r="M120" s="397">
        <v>7240.35</v>
      </c>
      <c r="N120" s="398"/>
      <c r="O120" s="352">
        <f t="shared" si="17"/>
        <v>0</v>
      </c>
    </row>
    <row r="121" spans="1:16" s="353" customFormat="1" ht="112.5" x14ac:dyDescent="0.2">
      <c r="A121" s="346">
        <v>5</v>
      </c>
      <c r="B121" s="347" t="s">
        <v>2184</v>
      </c>
      <c r="C121" s="396" t="s">
        <v>2185</v>
      </c>
      <c r="D121" s="396" t="s">
        <v>2186</v>
      </c>
      <c r="E121" s="350" t="s">
        <v>1733</v>
      </c>
      <c r="F121" s="350" t="s">
        <v>2209</v>
      </c>
      <c r="G121" s="350" t="s">
        <v>2154</v>
      </c>
      <c r="H121" s="351" t="s">
        <v>2392</v>
      </c>
      <c r="I121" s="397">
        <v>212591</v>
      </c>
      <c r="J121" s="397">
        <v>0</v>
      </c>
      <c r="K121" s="397">
        <v>0</v>
      </c>
      <c r="L121" s="397">
        <v>0</v>
      </c>
      <c r="M121" s="397">
        <v>0</v>
      </c>
      <c r="N121" s="398" t="s">
        <v>1786</v>
      </c>
      <c r="O121" s="352">
        <f t="shared" si="17"/>
        <v>212591</v>
      </c>
    </row>
    <row r="122" spans="1:16" s="353" customFormat="1" ht="187.5" x14ac:dyDescent="0.2">
      <c r="A122" s="346">
        <v>6</v>
      </c>
      <c r="B122" s="347" t="s">
        <v>2184</v>
      </c>
      <c r="C122" s="396" t="s">
        <v>2185</v>
      </c>
      <c r="D122" s="396" t="s">
        <v>2186</v>
      </c>
      <c r="E122" s="350" t="s">
        <v>1733</v>
      </c>
      <c r="F122" s="350" t="s">
        <v>2209</v>
      </c>
      <c r="G122" s="350" t="s">
        <v>2154</v>
      </c>
      <c r="H122" s="351" t="s">
        <v>2393</v>
      </c>
      <c r="I122" s="397">
        <v>675500</v>
      </c>
      <c r="J122" s="397">
        <v>0</v>
      </c>
      <c r="K122" s="397">
        <v>0</v>
      </c>
      <c r="L122" s="397">
        <v>0</v>
      </c>
      <c r="M122" s="397">
        <v>0</v>
      </c>
      <c r="N122" s="398" t="s">
        <v>1786</v>
      </c>
      <c r="O122" s="352">
        <f t="shared" si="17"/>
        <v>675500</v>
      </c>
    </row>
    <row r="123" spans="1:16" s="353" customFormat="1" ht="131.25" x14ac:dyDescent="0.2">
      <c r="A123" s="346">
        <v>7</v>
      </c>
      <c r="B123" s="347" t="s">
        <v>2252</v>
      </c>
      <c r="C123" s="396" t="s">
        <v>2253</v>
      </c>
      <c r="D123" s="396" t="s">
        <v>2254</v>
      </c>
      <c r="E123" s="350" t="s">
        <v>2109</v>
      </c>
      <c r="F123" s="350" t="s">
        <v>1567</v>
      </c>
      <c r="G123" s="350" t="s">
        <v>1568</v>
      </c>
      <c r="H123" s="351" t="s">
        <v>2394</v>
      </c>
      <c r="I123" s="397">
        <v>70000</v>
      </c>
      <c r="J123" s="397">
        <v>0</v>
      </c>
      <c r="K123" s="397">
        <v>0</v>
      </c>
      <c r="L123" s="397">
        <v>15909</v>
      </c>
      <c r="M123" s="397">
        <v>15909</v>
      </c>
      <c r="N123" s="398"/>
      <c r="O123" s="352">
        <f t="shared" si="17"/>
        <v>38182</v>
      </c>
    </row>
    <row r="124" spans="1:16" s="395" customFormat="1" x14ac:dyDescent="0.2">
      <c r="A124" s="388" t="s">
        <v>2263</v>
      </c>
      <c r="B124" s="389"/>
      <c r="C124" s="390"/>
      <c r="D124" s="390"/>
      <c r="E124" s="391"/>
      <c r="F124" s="391"/>
      <c r="G124" s="391"/>
      <c r="H124" s="392"/>
      <c r="I124" s="393">
        <f>SUM(I125:I130)</f>
        <v>7175934.3900000006</v>
      </c>
      <c r="J124" s="393">
        <f t="shared" ref="J124:O124" si="18">SUM(J125:J130)</f>
        <v>40000</v>
      </c>
      <c r="K124" s="393">
        <f t="shared" si="18"/>
        <v>40000</v>
      </c>
      <c r="L124" s="393">
        <f t="shared" si="18"/>
        <v>569500</v>
      </c>
      <c r="M124" s="393">
        <f t="shared" si="18"/>
        <v>569500</v>
      </c>
      <c r="N124" s="393">
        <f t="shared" si="18"/>
        <v>0</v>
      </c>
      <c r="O124" s="394">
        <f t="shared" si="18"/>
        <v>5956934.3900000006</v>
      </c>
    </row>
    <row r="125" spans="1:16" s="376" customFormat="1" ht="150" x14ac:dyDescent="0.2">
      <c r="A125" s="346">
        <v>1</v>
      </c>
      <c r="B125" s="347" t="s">
        <v>2103</v>
      </c>
      <c r="C125" s="396" t="s">
        <v>2118</v>
      </c>
      <c r="D125" s="396" t="s">
        <v>2119</v>
      </c>
      <c r="E125" s="350" t="s">
        <v>1877</v>
      </c>
      <c r="F125" s="350" t="s">
        <v>2395</v>
      </c>
      <c r="G125" s="350" t="s">
        <v>1665</v>
      </c>
      <c r="H125" s="351" t="s">
        <v>2396</v>
      </c>
      <c r="I125" s="397">
        <v>200000</v>
      </c>
      <c r="J125" s="397">
        <v>0</v>
      </c>
      <c r="K125" s="397">
        <v>0</v>
      </c>
      <c r="L125" s="397">
        <v>0</v>
      </c>
      <c r="M125" s="397">
        <v>0</v>
      </c>
      <c r="N125" s="398" t="s">
        <v>1786</v>
      </c>
      <c r="O125" s="352">
        <f t="shared" ref="O125:O130" si="19">+I125-(J125+K125+L125+M125)</f>
        <v>200000</v>
      </c>
      <c r="P125" s="353"/>
    </row>
    <row r="126" spans="1:16" s="376" customFormat="1" ht="150" x14ac:dyDescent="0.2">
      <c r="A126" s="346">
        <v>2</v>
      </c>
      <c r="B126" s="347" t="s">
        <v>2057</v>
      </c>
      <c r="C126" s="396" t="s">
        <v>2120</v>
      </c>
      <c r="D126" s="396" t="s">
        <v>2121</v>
      </c>
      <c r="E126" s="350" t="s">
        <v>1251</v>
      </c>
      <c r="F126" s="350" t="s">
        <v>1252</v>
      </c>
      <c r="G126" s="350" t="s">
        <v>1253</v>
      </c>
      <c r="H126" s="351" t="s">
        <v>2397</v>
      </c>
      <c r="I126" s="397">
        <v>970000</v>
      </c>
      <c r="J126" s="397">
        <v>0</v>
      </c>
      <c r="K126" s="397">
        <v>0</v>
      </c>
      <c r="L126" s="397">
        <v>350000</v>
      </c>
      <c r="M126" s="397">
        <v>350000</v>
      </c>
      <c r="N126" s="398"/>
      <c r="O126" s="352">
        <f t="shared" si="19"/>
        <v>270000</v>
      </c>
      <c r="P126" s="353"/>
    </row>
    <row r="127" spans="1:16" s="353" customFormat="1" ht="150" x14ac:dyDescent="0.2">
      <c r="A127" s="346">
        <v>3</v>
      </c>
      <c r="B127" s="347" t="s">
        <v>2122</v>
      </c>
      <c r="C127" s="396" t="s">
        <v>2123</v>
      </c>
      <c r="D127" s="396" t="s">
        <v>2124</v>
      </c>
      <c r="E127" s="350" t="s">
        <v>1877</v>
      </c>
      <c r="F127" s="350" t="s">
        <v>2395</v>
      </c>
      <c r="G127" s="350" t="s">
        <v>1665</v>
      </c>
      <c r="H127" s="351" t="s">
        <v>2398</v>
      </c>
      <c r="I127" s="397">
        <v>150000</v>
      </c>
      <c r="J127" s="397">
        <v>40000</v>
      </c>
      <c r="K127" s="397">
        <v>40000</v>
      </c>
      <c r="L127" s="397">
        <v>0</v>
      </c>
      <c r="M127" s="397">
        <v>0</v>
      </c>
      <c r="N127" s="398"/>
      <c r="O127" s="352">
        <f t="shared" si="19"/>
        <v>70000</v>
      </c>
    </row>
    <row r="128" spans="1:16" s="353" customFormat="1" ht="131.25" x14ac:dyDescent="0.2">
      <c r="A128" s="346">
        <v>4</v>
      </c>
      <c r="B128" s="347" t="s">
        <v>2019</v>
      </c>
      <c r="C128" s="396" t="s">
        <v>2020</v>
      </c>
      <c r="D128" s="396" t="s">
        <v>2021</v>
      </c>
      <c r="E128" s="350" t="s">
        <v>1251</v>
      </c>
      <c r="F128" s="350" t="s">
        <v>2395</v>
      </c>
      <c r="G128" s="350" t="s">
        <v>1763</v>
      </c>
      <c r="H128" s="351" t="s">
        <v>2399</v>
      </c>
      <c r="I128" s="397">
        <v>746117</v>
      </c>
      <c r="J128" s="397">
        <v>0</v>
      </c>
      <c r="K128" s="397">
        <v>0</v>
      </c>
      <c r="L128" s="397">
        <v>0</v>
      </c>
      <c r="M128" s="397">
        <v>0</v>
      </c>
      <c r="N128" s="398" t="s">
        <v>1786</v>
      </c>
      <c r="O128" s="352">
        <f t="shared" si="19"/>
        <v>746117</v>
      </c>
    </row>
    <row r="129" spans="1:16" s="353" customFormat="1" ht="187.5" x14ac:dyDescent="0.2">
      <c r="A129" s="346">
        <v>5</v>
      </c>
      <c r="B129" s="347" t="s">
        <v>2156</v>
      </c>
      <c r="C129" s="396" t="s">
        <v>2206</v>
      </c>
      <c r="D129" s="396" t="s">
        <v>2207</v>
      </c>
      <c r="E129" s="350" t="s">
        <v>1741</v>
      </c>
      <c r="F129" s="350" t="s">
        <v>2208</v>
      </c>
      <c r="G129" s="350" t="s">
        <v>1253</v>
      </c>
      <c r="H129" s="351" t="s">
        <v>2400</v>
      </c>
      <c r="I129" s="397">
        <v>699237.39</v>
      </c>
      <c r="J129" s="397">
        <v>0</v>
      </c>
      <c r="K129" s="397">
        <v>0</v>
      </c>
      <c r="L129" s="397">
        <v>219500</v>
      </c>
      <c r="M129" s="397">
        <v>219500</v>
      </c>
      <c r="N129" s="398"/>
      <c r="O129" s="352">
        <f t="shared" si="19"/>
        <v>260237.39</v>
      </c>
    </row>
    <row r="130" spans="1:16" s="353" customFormat="1" ht="93.75" x14ac:dyDescent="0.2">
      <c r="A130" s="346">
        <v>6</v>
      </c>
      <c r="B130" s="347" t="s">
        <v>2151</v>
      </c>
      <c r="C130" s="396" t="s">
        <v>2152</v>
      </c>
      <c r="D130" s="396" t="s">
        <v>2153</v>
      </c>
      <c r="E130" s="350" t="s">
        <v>1251</v>
      </c>
      <c r="F130" s="350" t="s">
        <v>2212</v>
      </c>
      <c r="G130" s="350" t="s">
        <v>2154</v>
      </c>
      <c r="H130" s="351" t="s">
        <v>2401</v>
      </c>
      <c r="I130" s="397">
        <v>4410580</v>
      </c>
      <c r="J130" s="397">
        <v>0</v>
      </c>
      <c r="K130" s="397">
        <v>0</v>
      </c>
      <c r="L130" s="397">
        <v>0</v>
      </c>
      <c r="M130" s="397">
        <v>0</v>
      </c>
      <c r="N130" s="398" t="s">
        <v>1786</v>
      </c>
      <c r="O130" s="352">
        <f t="shared" si="19"/>
        <v>4410580</v>
      </c>
    </row>
    <row r="131" spans="1:16" s="395" customFormat="1" x14ac:dyDescent="0.2">
      <c r="A131" s="388" t="s">
        <v>923</v>
      </c>
      <c r="B131" s="389"/>
      <c r="C131" s="390"/>
      <c r="D131" s="390"/>
      <c r="E131" s="391"/>
      <c r="F131" s="391"/>
      <c r="G131" s="391"/>
      <c r="H131" s="392"/>
      <c r="I131" s="393">
        <f>SUM(I132:I134)</f>
        <v>850473.5</v>
      </c>
      <c r="J131" s="393">
        <f t="shared" ref="J131:O131" si="20">SUM(J132:J134)</f>
        <v>0</v>
      </c>
      <c r="K131" s="393">
        <f t="shared" si="20"/>
        <v>0</v>
      </c>
      <c r="L131" s="393">
        <f t="shared" si="20"/>
        <v>8909.25</v>
      </c>
      <c r="M131" s="393">
        <f t="shared" si="20"/>
        <v>8909.25</v>
      </c>
      <c r="N131" s="393">
        <f t="shared" si="20"/>
        <v>0</v>
      </c>
      <c r="O131" s="394">
        <f t="shared" si="20"/>
        <v>832655</v>
      </c>
    </row>
    <row r="132" spans="1:16" s="353" customFormat="1" ht="168.75" x14ac:dyDescent="0.2">
      <c r="A132" s="346">
        <v>1</v>
      </c>
      <c r="B132" s="347" t="s">
        <v>2112</v>
      </c>
      <c r="C132" s="378" t="s">
        <v>2113</v>
      </c>
      <c r="D132" s="396" t="s">
        <v>2114</v>
      </c>
      <c r="E132" s="350" t="s">
        <v>929</v>
      </c>
      <c r="F132" s="350" t="s">
        <v>923</v>
      </c>
      <c r="G132" s="350" t="s">
        <v>930</v>
      </c>
      <c r="H132" s="351" t="s">
        <v>2402</v>
      </c>
      <c r="I132" s="397">
        <v>209932</v>
      </c>
      <c r="J132" s="397">
        <v>0</v>
      </c>
      <c r="K132" s="397">
        <v>0</v>
      </c>
      <c r="L132" s="397">
        <v>6367.75</v>
      </c>
      <c r="M132" s="397">
        <v>6367.75</v>
      </c>
      <c r="N132" s="397"/>
      <c r="O132" s="352">
        <f>+I132-(J132+K132+L132+M132+N132)</f>
        <v>197196.5</v>
      </c>
    </row>
    <row r="133" spans="1:16" s="353" customFormat="1" ht="131.25" x14ac:dyDescent="0.2">
      <c r="A133" s="371">
        <v>2</v>
      </c>
      <c r="B133" s="377" t="s">
        <v>2151</v>
      </c>
      <c r="C133" s="399" t="s">
        <v>2152</v>
      </c>
      <c r="D133" s="378" t="s">
        <v>2153</v>
      </c>
      <c r="E133" s="374" t="s">
        <v>2210</v>
      </c>
      <c r="F133" s="374" t="s">
        <v>923</v>
      </c>
      <c r="G133" s="374" t="s">
        <v>2211</v>
      </c>
      <c r="H133" s="375" t="s">
        <v>2403</v>
      </c>
      <c r="I133" s="379">
        <v>631000</v>
      </c>
      <c r="J133" s="379">
        <v>0</v>
      </c>
      <c r="K133" s="379">
        <v>0</v>
      </c>
      <c r="L133" s="379">
        <v>0</v>
      </c>
      <c r="M133" s="379">
        <v>0</v>
      </c>
      <c r="N133" s="398" t="s">
        <v>1786</v>
      </c>
      <c r="O133" s="352">
        <f>+I133-(SUM(J133:N133))</f>
        <v>631000</v>
      </c>
      <c r="P133" s="376"/>
    </row>
    <row r="134" spans="1:16" s="353" customFormat="1" ht="225" x14ac:dyDescent="0.2">
      <c r="A134" s="346">
        <v>3</v>
      </c>
      <c r="B134" s="377" t="s">
        <v>2255</v>
      </c>
      <c r="C134" s="399" t="s">
        <v>2256</v>
      </c>
      <c r="D134" s="378" t="s">
        <v>2257</v>
      </c>
      <c r="E134" s="350" t="s">
        <v>929</v>
      </c>
      <c r="F134" s="350" t="s">
        <v>923</v>
      </c>
      <c r="G134" s="350" t="s">
        <v>930</v>
      </c>
      <c r="H134" s="375" t="s">
        <v>2404</v>
      </c>
      <c r="I134" s="379">
        <v>9541.5</v>
      </c>
      <c r="J134" s="379">
        <v>0</v>
      </c>
      <c r="K134" s="379">
        <v>0</v>
      </c>
      <c r="L134" s="379">
        <v>2541.5</v>
      </c>
      <c r="M134" s="379">
        <v>2541.5</v>
      </c>
      <c r="N134" s="398"/>
      <c r="O134" s="352">
        <f>+I134-(SUM(J134:N134))</f>
        <v>4458.5</v>
      </c>
      <c r="P134" s="376"/>
    </row>
    <row r="135" spans="1:16" s="395" customFormat="1" x14ac:dyDescent="0.2">
      <c r="A135" s="388" t="s">
        <v>283</v>
      </c>
      <c r="B135" s="389"/>
      <c r="C135" s="390"/>
      <c r="D135" s="390"/>
      <c r="E135" s="391"/>
      <c r="F135" s="391"/>
      <c r="G135" s="391"/>
      <c r="H135" s="392"/>
      <c r="I135" s="393">
        <f>SUM(I136:I137)</f>
        <v>672000</v>
      </c>
      <c r="J135" s="393">
        <f t="shared" ref="J135:O135" si="21">SUM(J136:J137)</f>
        <v>0</v>
      </c>
      <c r="K135" s="393">
        <f t="shared" si="21"/>
        <v>0</v>
      </c>
      <c r="L135" s="393">
        <f t="shared" si="21"/>
        <v>0</v>
      </c>
      <c r="M135" s="393">
        <f t="shared" si="21"/>
        <v>0</v>
      </c>
      <c r="N135" s="393">
        <f t="shared" si="21"/>
        <v>0</v>
      </c>
      <c r="O135" s="394">
        <f t="shared" si="21"/>
        <v>672000</v>
      </c>
    </row>
    <row r="136" spans="1:16" s="353" customFormat="1" ht="337.5" x14ac:dyDescent="0.2">
      <c r="A136" s="346">
        <v>1</v>
      </c>
      <c r="B136" s="347" t="s">
        <v>2258</v>
      </c>
      <c r="C136" s="396" t="s">
        <v>2259</v>
      </c>
      <c r="D136" s="396" t="s">
        <v>2260</v>
      </c>
      <c r="E136" s="350" t="s">
        <v>2405</v>
      </c>
      <c r="F136" s="350" t="s">
        <v>283</v>
      </c>
      <c r="G136" s="350" t="s">
        <v>2261</v>
      </c>
      <c r="H136" s="351" t="s">
        <v>2406</v>
      </c>
      <c r="I136" s="397">
        <v>420000</v>
      </c>
      <c r="J136" s="397">
        <v>0</v>
      </c>
      <c r="K136" s="397">
        <v>0</v>
      </c>
      <c r="L136" s="397">
        <v>0</v>
      </c>
      <c r="M136" s="397">
        <v>0</v>
      </c>
      <c r="N136" s="398" t="s">
        <v>1837</v>
      </c>
      <c r="O136" s="352">
        <f>+I136-(SUM(J136:N136))</f>
        <v>420000</v>
      </c>
    </row>
    <row r="137" spans="1:16" s="353" customFormat="1" ht="262.5" x14ac:dyDescent="0.2">
      <c r="A137" s="371">
        <v>2</v>
      </c>
      <c r="B137" s="347" t="s">
        <v>2258</v>
      </c>
      <c r="C137" s="396" t="s">
        <v>2259</v>
      </c>
      <c r="D137" s="396" t="s">
        <v>2260</v>
      </c>
      <c r="E137" s="350" t="s">
        <v>2407</v>
      </c>
      <c r="F137" s="350" t="s">
        <v>283</v>
      </c>
      <c r="G137" s="350" t="s">
        <v>2261</v>
      </c>
      <c r="H137" s="351" t="s">
        <v>2408</v>
      </c>
      <c r="I137" s="397">
        <v>252000</v>
      </c>
      <c r="J137" s="397">
        <v>0</v>
      </c>
      <c r="K137" s="397">
        <v>0</v>
      </c>
      <c r="L137" s="397">
        <v>0</v>
      </c>
      <c r="M137" s="397">
        <v>0</v>
      </c>
      <c r="N137" s="398" t="s">
        <v>1837</v>
      </c>
      <c r="O137" s="352">
        <f>+I137-(SUM(J137:N137))</f>
        <v>252000</v>
      </c>
    </row>
    <row r="138" spans="1:16" s="395" customFormat="1" x14ac:dyDescent="0.2">
      <c r="A138" s="388" t="s">
        <v>2149</v>
      </c>
      <c r="B138" s="389"/>
      <c r="C138" s="390"/>
      <c r="D138" s="390"/>
      <c r="E138" s="391"/>
      <c r="F138" s="391"/>
      <c r="G138" s="391"/>
      <c r="H138" s="392"/>
      <c r="I138" s="393">
        <f>SUM(I139:I143)</f>
        <v>1322200</v>
      </c>
      <c r="J138" s="393">
        <f t="shared" ref="J138:O138" si="22">SUM(J139:J143)</f>
        <v>15000</v>
      </c>
      <c r="K138" s="393">
        <f t="shared" si="22"/>
        <v>15000</v>
      </c>
      <c r="L138" s="393">
        <f t="shared" si="22"/>
        <v>0</v>
      </c>
      <c r="M138" s="393">
        <f t="shared" si="22"/>
        <v>0</v>
      </c>
      <c r="N138" s="393">
        <f t="shared" si="22"/>
        <v>0</v>
      </c>
      <c r="O138" s="394">
        <f t="shared" si="22"/>
        <v>1292200</v>
      </c>
    </row>
    <row r="139" spans="1:16" s="353" customFormat="1" ht="112.5" x14ac:dyDescent="0.2">
      <c r="A139" s="346">
        <v>1</v>
      </c>
      <c r="B139" s="347" t="s">
        <v>2213</v>
      </c>
      <c r="C139" s="396" t="s">
        <v>2214</v>
      </c>
      <c r="D139" s="396" t="s">
        <v>2215</v>
      </c>
      <c r="E139" s="350" t="s">
        <v>1251</v>
      </c>
      <c r="F139" s="350" t="s">
        <v>2216</v>
      </c>
      <c r="G139" s="350" t="s">
        <v>1763</v>
      </c>
      <c r="H139" s="351" t="s">
        <v>2409</v>
      </c>
      <c r="I139" s="397">
        <v>672200</v>
      </c>
      <c r="J139" s="397">
        <v>0</v>
      </c>
      <c r="K139" s="397">
        <v>0</v>
      </c>
      <c r="L139" s="397">
        <v>0</v>
      </c>
      <c r="M139" s="397">
        <v>0</v>
      </c>
      <c r="N139" s="398" t="s">
        <v>2325</v>
      </c>
      <c r="O139" s="352">
        <f>+I139-(J139+K139+L139+M139)</f>
        <v>672200</v>
      </c>
    </row>
    <row r="140" spans="1:16" s="353" customFormat="1" ht="93.75" x14ac:dyDescent="0.2">
      <c r="A140" s="346">
        <v>2</v>
      </c>
      <c r="B140" s="347" t="s">
        <v>2151</v>
      </c>
      <c r="C140" s="396" t="s">
        <v>2217</v>
      </c>
      <c r="D140" s="396" t="s">
        <v>2218</v>
      </c>
      <c r="E140" s="350" t="s">
        <v>2219</v>
      </c>
      <c r="F140" s="350" t="s">
        <v>2149</v>
      </c>
      <c r="G140" s="350" t="s">
        <v>2220</v>
      </c>
      <c r="H140" s="351" t="s">
        <v>2410</v>
      </c>
      <c r="I140" s="397">
        <v>100000</v>
      </c>
      <c r="J140" s="397">
        <v>5000</v>
      </c>
      <c r="K140" s="397">
        <v>5000</v>
      </c>
      <c r="L140" s="397">
        <v>0</v>
      </c>
      <c r="M140" s="397">
        <v>0</v>
      </c>
      <c r="N140" s="398"/>
      <c r="O140" s="352">
        <f>+I140-(SUM(J140:N140))</f>
        <v>90000</v>
      </c>
    </row>
    <row r="141" spans="1:16" s="353" customFormat="1" ht="93.75" x14ac:dyDescent="0.2">
      <c r="A141" s="346">
        <v>3</v>
      </c>
      <c r="B141" s="347" t="s">
        <v>2411</v>
      </c>
      <c r="C141" s="396" t="s">
        <v>2412</v>
      </c>
      <c r="D141" s="396" t="s">
        <v>2413</v>
      </c>
      <c r="E141" s="350" t="s">
        <v>2414</v>
      </c>
      <c r="F141" s="350" t="s">
        <v>2149</v>
      </c>
      <c r="G141" s="350" t="s">
        <v>2415</v>
      </c>
      <c r="H141" s="351" t="s">
        <v>2416</v>
      </c>
      <c r="I141" s="397">
        <v>350000</v>
      </c>
      <c r="J141" s="397">
        <v>0</v>
      </c>
      <c r="K141" s="397"/>
      <c r="L141" s="397"/>
      <c r="M141" s="397"/>
      <c r="N141" s="398" t="s">
        <v>2417</v>
      </c>
      <c r="O141" s="352">
        <f>+I141-(SUM(J141:N141))</f>
        <v>350000</v>
      </c>
    </row>
    <row r="142" spans="1:16" s="353" customFormat="1" ht="93.75" x14ac:dyDescent="0.2">
      <c r="A142" s="346">
        <v>4</v>
      </c>
      <c r="B142" s="347" t="s">
        <v>2418</v>
      </c>
      <c r="C142" s="396" t="s">
        <v>2419</v>
      </c>
      <c r="D142" s="396" t="s">
        <v>2420</v>
      </c>
      <c r="E142" s="350" t="s">
        <v>2421</v>
      </c>
      <c r="F142" s="350" t="s">
        <v>2149</v>
      </c>
      <c r="G142" s="350" t="s">
        <v>2422</v>
      </c>
      <c r="H142" s="351" t="s">
        <v>2423</v>
      </c>
      <c r="I142" s="397">
        <v>50000</v>
      </c>
      <c r="J142" s="397">
        <v>2500</v>
      </c>
      <c r="K142" s="397">
        <v>2500</v>
      </c>
      <c r="L142" s="397">
        <v>0</v>
      </c>
      <c r="M142" s="397">
        <v>0</v>
      </c>
      <c r="N142" s="398">
        <v>0</v>
      </c>
      <c r="O142" s="352">
        <f>+I142-(SUM(J142:N142))</f>
        <v>45000</v>
      </c>
    </row>
    <row r="143" spans="1:16" s="353" customFormat="1" ht="93.75" x14ac:dyDescent="0.2">
      <c r="A143" s="346">
        <v>5</v>
      </c>
      <c r="B143" s="347" t="s">
        <v>2424</v>
      </c>
      <c r="C143" s="396" t="s">
        <v>2425</v>
      </c>
      <c r="D143" s="396" t="s">
        <v>2426</v>
      </c>
      <c r="E143" s="350" t="s">
        <v>2219</v>
      </c>
      <c r="F143" s="350" t="s">
        <v>2149</v>
      </c>
      <c r="G143" s="350" t="s">
        <v>2220</v>
      </c>
      <c r="H143" s="351" t="s">
        <v>2427</v>
      </c>
      <c r="I143" s="397">
        <v>150000</v>
      </c>
      <c r="J143" s="397">
        <v>7500</v>
      </c>
      <c r="K143" s="397">
        <v>7500</v>
      </c>
      <c r="L143" s="397">
        <v>0</v>
      </c>
      <c r="M143" s="397">
        <v>0</v>
      </c>
      <c r="N143" s="398">
        <v>0</v>
      </c>
      <c r="O143" s="352">
        <f>+I143-(SUM(J143:N143))</f>
        <v>135000</v>
      </c>
    </row>
    <row r="144" spans="1:16" s="395" customFormat="1" x14ac:dyDescent="0.2">
      <c r="A144" s="388" t="s">
        <v>2264</v>
      </c>
      <c r="B144" s="389"/>
      <c r="C144" s="390"/>
      <c r="D144" s="390"/>
      <c r="E144" s="391"/>
      <c r="F144" s="391"/>
      <c r="G144" s="391"/>
      <c r="H144" s="392"/>
      <c r="I144" s="393">
        <f>SUM(I145)</f>
        <v>500000</v>
      </c>
      <c r="J144" s="393">
        <f t="shared" ref="J144:O144" si="23">SUM(J145)</f>
        <v>0</v>
      </c>
      <c r="K144" s="393">
        <f t="shared" si="23"/>
        <v>0</v>
      </c>
      <c r="L144" s="393">
        <f t="shared" si="23"/>
        <v>21091</v>
      </c>
      <c r="M144" s="393">
        <f t="shared" si="23"/>
        <v>21091</v>
      </c>
      <c r="N144" s="393">
        <f t="shared" si="23"/>
        <v>0</v>
      </c>
      <c r="O144" s="394">
        <f t="shared" si="23"/>
        <v>457818</v>
      </c>
    </row>
    <row r="145" spans="1:15" s="353" customFormat="1" ht="168.75" x14ac:dyDescent="0.2">
      <c r="A145" s="346">
        <v>1</v>
      </c>
      <c r="B145" s="347" t="s">
        <v>2115</v>
      </c>
      <c r="C145" s="396" t="s">
        <v>2116</v>
      </c>
      <c r="D145" s="396" t="s">
        <v>2428</v>
      </c>
      <c r="E145" s="350" t="s">
        <v>2117</v>
      </c>
      <c r="F145" s="350" t="s">
        <v>2429</v>
      </c>
      <c r="G145" s="350" t="s">
        <v>1897</v>
      </c>
      <c r="H145" s="351" t="s">
        <v>2430</v>
      </c>
      <c r="I145" s="397">
        <v>500000</v>
      </c>
      <c r="J145" s="397">
        <v>0</v>
      </c>
      <c r="K145" s="397">
        <v>0</v>
      </c>
      <c r="L145" s="397">
        <v>21091</v>
      </c>
      <c r="M145" s="397">
        <v>21091</v>
      </c>
      <c r="N145" s="397"/>
      <c r="O145" s="352">
        <f>+I145-(J145+K145+L145+M145+N145)</f>
        <v>457818</v>
      </c>
    </row>
    <row r="146" spans="1:15" s="395" customFormat="1" x14ac:dyDescent="0.2">
      <c r="A146" s="388" t="s">
        <v>2150</v>
      </c>
      <c r="B146" s="389"/>
      <c r="C146" s="390"/>
      <c r="D146" s="390"/>
      <c r="E146" s="391"/>
      <c r="F146" s="391"/>
      <c r="G146" s="391"/>
      <c r="H146" s="392"/>
      <c r="I146" s="393">
        <f>SUM(I147:I148)</f>
        <v>593950</v>
      </c>
      <c r="J146" s="393">
        <f t="shared" ref="J146:O146" si="24">SUM(J147:J148)</f>
        <v>0</v>
      </c>
      <c r="K146" s="393">
        <f t="shared" si="24"/>
        <v>0</v>
      </c>
      <c r="L146" s="393">
        <f t="shared" si="24"/>
        <v>0</v>
      </c>
      <c r="M146" s="393">
        <f t="shared" si="24"/>
        <v>0</v>
      </c>
      <c r="N146" s="393">
        <f t="shared" si="24"/>
        <v>0</v>
      </c>
      <c r="O146" s="394">
        <f t="shared" si="24"/>
        <v>593950</v>
      </c>
    </row>
    <row r="147" spans="1:15" s="353" customFormat="1" ht="75" x14ac:dyDescent="0.2">
      <c r="A147" s="346">
        <v>1</v>
      </c>
      <c r="B147" s="347" t="s">
        <v>2187</v>
      </c>
      <c r="C147" s="396" t="s">
        <v>2221</v>
      </c>
      <c r="D147" s="396" t="s">
        <v>2222</v>
      </c>
      <c r="E147" s="350" t="s">
        <v>2223</v>
      </c>
      <c r="F147" s="350" t="s">
        <v>2150</v>
      </c>
      <c r="G147" s="350" t="s">
        <v>2154</v>
      </c>
      <c r="H147" s="351" t="s">
        <v>2431</v>
      </c>
      <c r="I147" s="397">
        <v>250000</v>
      </c>
      <c r="J147" s="397">
        <v>0</v>
      </c>
      <c r="K147" s="397">
        <v>0</v>
      </c>
      <c r="L147" s="397">
        <v>0</v>
      </c>
      <c r="M147" s="397">
        <v>0</v>
      </c>
      <c r="N147" s="398" t="s">
        <v>1786</v>
      </c>
      <c r="O147" s="352">
        <f>+I147-(J147+K147+L147+M147)</f>
        <v>250000</v>
      </c>
    </row>
    <row r="148" spans="1:15" s="353" customFormat="1" ht="131.25" x14ac:dyDescent="0.2">
      <c r="A148" s="346">
        <v>2</v>
      </c>
      <c r="B148" s="347" t="s">
        <v>2151</v>
      </c>
      <c r="C148" s="396" t="s">
        <v>2152</v>
      </c>
      <c r="D148" s="396" t="s">
        <v>2153</v>
      </c>
      <c r="E148" s="350" t="s">
        <v>2224</v>
      </c>
      <c r="F148" s="350" t="s">
        <v>2432</v>
      </c>
      <c r="G148" s="350" t="s">
        <v>2154</v>
      </c>
      <c r="H148" s="351" t="s">
        <v>2433</v>
      </c>
      <c r="I148" s="397">
        <v>343950</v>
      </c>
      <c r="J148" s="397">
        <v>0</v>
      </c>
      <c r="K148" s="397">
        <v>0</v>
      </c>
      <c r="L148" s="397">
        <v>0</v>
      </c>
      <c r="M148" s="397">
        <v>0</v>
      </c>
      <c r="N148" s="398" t="s">
        <v>1786</v>
      </c>
      <c r="O148" s="352">
        <f>+I148-(J148+K148+L148+M148)</f>
        <v>343950</v>
      </c>
    </row>
    <row r="149" spans="1:15" s="365" customFormat="1" ht="19.5" thickBot="1" x14ac:dyDescent="0.45">
      <c r="A149" s="523" t="s">
        <v>1919</v>
      </c>
      <c r="B149" s="523"/>
      <c r="C149" s="523"/>
      <c r="D149" s="523"/>
      <c r="E149" s="523"/>
      <c r="F149" s="523"/>
      <c r="G149" s="523"/>
      <c r="H149" s="523"/>
      <c r="I149" s="400">
        <f>SUM(I8+I14+I16+I18+I40+I45+I74+I81+I85+I95+I116+I124+I131+I135+I138+I144+I146)</f>
        <v>47024090.440000005</v>
      </c>
      <c r="J149" s="400">
        <f t="shared" ref="J149:O149" si="25">SUM(J8+J14+J16+J18+J40+J45+J74+J81+J85+J95+J116+J124+J131+J135+J138+J144+J146)</f>
        <v>638887.42000000004</v>
      </c>
      <c r="K149" s="400">
        <f t="shared" si="25"/>
        <v>638887.42000000004</v>
      </c>
      <c r="L149" s="400">
        <f t="shared" si="25"/>
        <v>985072.31</v>
      </c>
      <c r="M149" s="400">
        <f t="shared" si="25"/>
        <v>985072.31</v>
      </c>
      <c r="N149" s="400">
        <f t="shared" si="25"/>
        <v>0</v>
      </c>
      <c r="O149" s="401">
        <f t="shared" si="25"/>
        <v>43776170.980000004</v>
      </c>
    </row>
    <row r="150" spans="1:15" ht="19.5" thickTop="1" x14ac:dyDescent="0.4"/>
    <row r="151" spans="1:15" ht="21" x14ac:dyDescent="0.45">
      <c r="A151" s="372"/>
      <c r="I151" s="300">
        <v>47024090.439999998</v>
      </c>
      <c r="J151" s="300">
        <v>638887.42000000004</v>
      </c>
      <c r="K151" s="300">
        <v>638887.42000000004</v>
      </c>
      <c r="L151" s="300">
        <v>985072.30999999994</v>
      </c>
      <c r="M151" s="300">
        <v>985072.30999999994</v>
      </c>
      <c r="N151" s="300">
        <v>0</v>
      </c>
      <c r="O151" s="383">
        <v>43776170.980000004</v>
      </c>
    </row>
    <row r="152" spans="1:15" x14ac:dyDescent="0.4">
      <c r="I152" s="373">
        <f>SUM(I149-I151)</f>
        <v>7.4505805969238281E-9</v>
      </c>
      <c r="J152" s="373">
        <f t="shared" ref="J152:O152" si="26">SUM(J149-J151)</f>
        <v>0</v>
      </c>
      <c r="K152" s="373">
        <f t="shared" si="26"/>
        <v>0</v>
      </c>
      <c r="L152" s="373">
        <f t="shared" si="26"/>
        <v>1.1641532182693481E-10</v>
      </c>
      <c r="M152" s="373">
        <f t="shared" si="26"/>
        <v>1.1641532182693481E-10</v>
      </c>
      <c r="N152" s="373">
        <f t="shared" si="26"/>
        <v>0</v>
      </c>
      <c r="O152" s="402">
        <f t="shared" si="26"/>
        <v>0</v>
      </c>
    </row>
    <row r="153" spans="1:15" x14ac:dyDescent="0.4">
      <c r="I153" s="332"/>
    </row>
  </sheetData>
  <mergeCells count="18">
    <mergeCell ref="F6:F7"/>
    <mergeCell ref="G6:G7"/>
    <mergeCell ref="H6:H7"/>
    <mergeCell ref="I6:I7"/>
    <mergeCell ref="J6:K6"/>
    <mergeCell ref="A149:H149"/>
    <mergeCell ref="A1:O1"/>
    <mergeCell ref="A2:O2"/>
    <mergeCell ref="A3:O3"/>
    <mergeCell ref="A5:A7"/>
    <mergeCell ref="B5:I5"/>
    <mergeCell ref="J5:N5"/>
    <mergeCell ref="O5:O7"/>
    <mergeCell ref="B6:B7"/>
    <mergeCell ref="C6:C7"/>
    <mergeCell ref="D6:D7"/>
    <mergeCell ref="L6:N6"/>
    <mergeCell ref="E6: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9"/>
  <sheetViews>
    <sheetView workbookViewId="0">
      <selection activeCell="F13" sqref="F13"/>
    </sheetView>
  </sheetViews>
  <sheetFormatPr defaultRowHeight="23.25" x14ac:dyDescent="0.5"/>
  <cols>
    <col min="1" max="1" width="5" style="323" customWidth="1"/>
    <col min="2" max="2" width="37.25" style="323" customWidth="1"/>
    <col min="3" max="3" width="13.75" style="324" customWidth="1"/>
    <col min="4" max="7" width="14.375" style="325" customWidth="1"/>
    <col min="8" max="8" width="12.875" style="325" customWidth="1"/>
    <col min="9" max="9" width="13.75" style="325" customWidth="1"/>
    <col min="10" max="256" width="9" style="325"/>
    <col min="257" max="257" width="5" style="325" customWidth="1"/>
    <col min="258" max="258" width="37.25" style="325" customWidth="1"/>
    <col min="259" max="259" width="13.75" style="325" customWidth="1"/>
    <col min="260" max="263" width="14.375" style="325" customWidth="1"/>
    <col min="264" max="264" width="12.875" style="325" customWidth="1"/>
    <col min="265" max="265" width="13.75" style="325" customWidth="1"/>
    <col min="266" max="512" width="9" style="325"/>
    <col min="513" max="513" width="5" style="325" customWidth="1"/>
    <col min="514" max="514" width="37.25" style="325" customWidth="1"/>
    <col min="515" max="515" width="13.75" style="325" customWidth="1"/>
    <col min="516" max="519" width="14.375" style="325" customWidth="1"/>
    <col min="520" max="520" width="12.875" style="325" customWidth="1"/>
    <col min="521" max="521" width="13.75" style="325" customWidth="1"/>
    <col min="522" max="768" width="9" style="325"/>
    <col min="769" max="769" width="5" style="325" customWidth="1"/>
    <col min="770" max="770" width="37.25" style="325" customWidth="1"/>
    <col min="771" max="771" width="13.75" style="325" customWidth="1"/>
    <col min="772" max="775" width="14.375" style="325" customWidth="1"/>
    <col min="776" max="776" width="12.875" style="325" customWidth="1"/>
    <col min="777" max="777" width="13.75" style="325" customWidth="1"/>
    <col min="778" max="1024" width="9" style="325"/>
    <col min="1025" max="1025" width="5" style="325" customWidth="1"/>
    <col min="1026" max="1026" width="37.25" style="325" customWidth="1"/>
    <col min="1027" max="1027" width="13.75" style="325" customWidth="1"/>
    <col min="1028" max="1031" width="14.375" style="325" customWidth="1"/>
    <col min="1032" max="1032" width="12.875" style="325" customWidth="1"/>
    <col min="1033" max="1033" width="13.75" style="325" customWidth="1"/>
    <col min="1034" max="1280" width="9" style="325"/>
    <col min="1281" max="1281" width="5" style="325" customWidth="1"/>
    <col min="1282" max="1282" width="37.25" style="325" customWidth="1"/>
    <col min="1283" max="1283" width="13.75" style="325" customWidth="1"/>
    <col min="1284" max="1287" width="14.375" style="325" customWidth="1"/>
    <col min="1288" max="1288" width="12.875" style="325" customWidth="1"/>
    <col min="1289" max="1289" width="13.75" style="325" customWidth="1"/>
    <col min="1290" max="1536" width="9" style="325"/>
    <col min="1537" max="1537" width="5" style="325" customWidth="1"/>
    <col min="1538" max="1538" width="37.25" style="325" customWidth="1"/>
    <col min="1539" max="1539" width="13.75" style="325" customWidth="1"/>
    <col min="1540" max="1543" width="14.375" style="325" customWidth="1"/>
    <col min="1544" max="1544" width="12.875" style="325" customWidth="1"/>
    <col min="1545" max="1545" width="13.75" style="325" customWidth="1"/>
    <col min="1546" max="1792" width="9" style="325"/>
    <col min="1793" max="1793" width="5" style="325" customWidth="1"/>
    <col min="1794" max="1794" width="37.25" style="325" customWidth="1"/>
    <col min="1795" max="1795" width="13.75" style="325" customWidth="1"/>
    <col min="1796" max="1799" width="14.375" style="325" customWidth="1"/>
    <col min="1800" max="1800" width="12.875" style="325" customWidth="1"/>
    <col min="1801" max="1801" width="13.75" style="325" customWidth="1"/>
    <col min="1802" max="2048" width="9" style="325"/>
    <col min="2049" max="2049" width="5" style="325" customWidth="1"/>
    <col min="2050" max="2050" width="37.25" style="325" customWidth="1"/>
    <col min="2051" max="2051" width="13.75" style="325" customWidth="1"/>
    <col min="2052" max="2055" width="14.375" style="325" customWidth="1"/>
    <col min="2056" max="2056" width="12.875" style="325" customWidth="1"/>
    <col min="2057" max="2057" width="13.75" style="325" customWidth="1"/>
    <col min="2058" max="2304" width="9" style="325"/>
    <col min="2305" max="2305" width="5" style="325" customWidth="1"/>
    <col min="2306" max="2306" width="37.25" style="325" customWidth="1"/>
    <col min="2307" max="2307" width="13.75" style="325" customWidth="1"/>
    <col min="2308" max="2311" width="14.375" style="325" customWidth="1"/>
    <col min="2312" max="2312" width="12.875" style="325" customWidth="1"/>
    <col min="2313" max="2313" width="13.75" style="325" customWidth="1"/>
    <col min="2314" max="2560" width="9" style="325"/>
    <col min="2561" max="2561" width="5" style="325" customWidth="1"/>
    <col min="2562" max="2562" width="37.25" style="325" customWidth="1"/>
    <col min="2563" max="2563" width="13.75" style="325" customWidth="1"/>
    <col min="2564" max="2567" width="14.375" style="325" customWidth="1"/>
    <col min="2568" max="2568" width="12.875" style="325" customWidth="1"/>
    <col min="2569" max="2569" width="13.75" style="325" customWidth="1"/>
    <col min="2570" max="2816" width="9" style="325"/>
    <col min="2817" max="2817" width="5" style="325" customWidth="1"/>
    <col min="2818" max="2818" width="37.25" style="325" customWidth="1"/>
    <col min="2819" max="2819" width="13.75" style="325" customWidth="1"/>
    <col min="2820" max="2823" width="14.375" style="325" customWidth="1"/>
    <col min="2824" max="2824" width="12.875" style="325" customWidth="1"/>
    <col min="2825" max="2825" width="13.75" style="325" customWidth="1"/>
    <col min="2826" max="3072" width="9" style="325"/>
    <col min="3073" max="3073" width="5" style="325" customWidth="1"/>
    <col min="3074" max="3074" width="37.25" style="325" customWidth="1"/>
    <col min="3075" max="3075" width="13.75" style="325" customWidth="1"/>
    <col min="3076" max="3079" width="14.375" style="325" customWidth="1"/>
    <col min="3080" max="3080" width="12.875" style="325" customWidth="1"/>
    <col min="3081" max="3081" width="13.75" style="325" customWidth="1"/>
    <col min="3082" max="3328" width="9" style="325"/>
    <col min="3329" max="3329" width="5" style="325" customWidth="1"/>
    <col min="3330" max="3330" width="37.25" style="325" customWidth="1"/>
    <col min="3331" max="3331" width="13.75" style="325" customWidth="1"/>
    <col min="3332" max="3335" width="14.375" style="325" customWidth="1"/>
    <col min="3336" max="3336" width="12.875" style="325" customWidth="1"/>
    <col min="3337" max="3337" width="13.75" style="325" customWidth="1"/>
    <col min="3338" max="3584" width="9" style="325"/>
    <col min="3585" max="3585" width="5" style="325" customWidth="1"/>
    <col min="3586" max="3586" width="37.25" style="325" customWidth="1"/>
    <col min="3587" max="3587" width="13.75" style="325" customWidth="1"/>
    <col min="3588" max="3591" width="14.375" style="325" customWidth="1"/>
    <col min="3592" max="3592" width="12.875" style="325" customWidth="1"/>
    <col min="3593" max="3593" width="13.75" style="325" customWidth="1"/>
    <col min="3594" max="3840" width="9" style="325"/>
    <col min="3841" max="3841" width="5" style="325" customWidth="1"/>
    <col min="3842" max="3842" width="37.25" style="325" customWidth="1"/>
    <col min="3843" max="3843" width="13.75" style="325" customWidth="1"/>
    <col min="3844" max="3847" width="14.375" style="325" customWidth="1"/>
    <col min="3848" max="3848" width="12.875" style="325" customWidth="1"/>
    <col min="3849" max="3849" width="13.75" style="325" customWidth="1"/>
    <col min="3850" max="4096" width="9" style="325"/>
    <col min="4097" max="4097" width="5" style="325" customWidth="1"/>
    <col min="4098" max="4098" width="37.25" style="325" customWidth="1"/>
    <col min="4099" max="4099" width="13.75" style="325" customWidth="1"/>
    <col min="4100" max="4103" width="14.375" style="325" customWidth="1"/>
    <col min="4104" max="4104" width="12.875" style="325" customWidth="1"/>
    <col min="4105" max="4105" width="13.75" style="325" customWidth="1"/>
    <col min="4106" max="4352" width="9" style="325"/>
    <col min="4353" max="4353" width="5" style="325" customWidth="1"/>
    <col min="4354" max="4354" width="37.25" style="325" customWidth="1"/>
    <col min="4355" max="4355" width="13.75" style="325" customWidth="1"/>
    <col min="4356" max="4359" width="14.375" style="325" customWidth="1"/>
    <col min="4360" max="4360" width="12.875" style="325" customWidth="1"/>
    <col min="4361" max="4361" width="13.75" style="325" customWidth="1"/>
    <col min="4362" max="4608" width="9" style="325"/>
    <col min="4609" max="4609" width="5" style="325" customWidth="1"/>
    <col min="4610" max="4610" width="37.25" style="325" customWidth="1"/>
    <col min="4611" max="4611" width="13.75" style="325" customWidth="1"/>
    <col min="4612" max="4615" width="14.375" style="325" customWidth="1"/>
    <col min="4616" max="4616" width="12.875" style="325" customWidth="1"/>
    <col min="4617" max="4617" width="13.75" style="325" customWidth="1"/>
    <col min="4618" max="4864" width="9" style="325"/>
    <col min="4865" max="4865" width="5" style="325" customWidth="1"/>
    <col min="4866" max="4866" width="37.25" style="325" customWidth="1"/>
    <col min="4867" max="4867" width="13.75" style="325" customWidth="1"/>
    <col min="4868" max="4871" width="14.375" style="325" customWidth="1"/>
    <col min="4872" max="4872" width="12.875" style="325" customWidth="1"/>
    <col min="4873" max="4873" width="13.75" style="325" customWidth="1"/>
    <col min="4874" max="5120" width="9" style="325"/>
    <col min="5121" max="5121" width="5" style="325" customWidth="1"/>
    <col min="5122" max="5122" width="37.25" style="325" customWidth="1"/>
    <col min="5123" max="5123" width="13.75" style="325" customWidth="1"/>
    <col min="5124" max="5127" width="14.375" style="325" customWidth="1"/>
    <col min="5128" max="5128" width="12.875" style="325" customWidth="1"/>
    <col min="5129" max="5129" width="13.75" style="325" customWidth="1"/>
    <col min="5130" max="5376" width="9" style="325"/>
    <col min="5377" max="5377" width="5" style="325" customWidth="1"/>
    <col min="5378" max="5378" width="37.25" style="325" customWidth="1"/>
    <col min="5379" max="5379" width="13.75" style="325" customWidth="1"/>
    <col min="5380" max="5383" width="14.375" style="325" customWidth="1"/>
    <col min="5384" max="5384" width="12.875" style="325" customWidth="1"/>
    <col min="5385" max="5385" width="13.75" style="325" customWidth="1"/>
    <col min="5386" max="5632" width="9" style="325"/>
    <col min="5633" max="5633" width="5" style="325" customWidth="1"/>
    <col min="5634" max="5634" width="37.25" style="325" customWidth="1"/>
    <col min="5635" max="5635" width="13.75" style="325" customWidth="1"/>
    <col min="5636" max="5639" width="14.375" style="325" customWidth="1"/>
    <col min="5640" max="5640" width="12.875" style="325" customWidth="1"/>
    <col min="5641" max="5641" width="13.75" style="325" customWidth="1"/>
    <col min="5642" max="5888" width="9" style="325"/>
    <col min="5889" max="5889" width="5" style="325" customWidth="1"/>
    <col min="5890" max="5890" width="37.25" style="325" customWidth="1"/>
    <col min="5891" max="5891" width="13.75" style="325" customWidth="1"/>
    <col min="5892" max="5895" width="14.375" style="325" customWidth="1"/>
    <col min="5896" max="5896" width="12.875" style="325" customWidth="1"/>
    <col min="5897" max="5897" width="13.75" style="325" customWidth="1"/>
    <col min="5898" max="6144" width="9" style="325"/>
    <col min="6145" max="6145" width="5" style="325" customWidth="1"/>
    <col min="6146" max="6146" width="37.25" style="325" customWidth="1"/>
    <col min="6147" max="6147" width="13.75" style="325" customWidth="1"/>
    <col min="6148" max="6151" width="14.375" style="325" customWidth="1"/>
    <col min="6152" max="6152" width="12.875" style="325" customWidth="1"/>
    <col min="6153" max="6153" width="13.75" style="325" customWidth="1"/>
    <col min="6154" max="6400" width="9" style="325"/>
    <col min="6401" max="6401" width="5" style="325" customWidth="1"/>
    <col min="6402" max="6402" width="37.25" style="325" customWidth="1"/>
    <col min="6403" max="6403" width="13.75" style="325" customWidth="1"/>
    <col min="6404" max="6407" width="14.375" style="325" customWidth="1"/>
    <col min="6408" max="6408" width="12.875" style="325" customWidth="1"/>
    <col min="6409" max="6409" width="13.75" style="325" customWidth="1"/>
    <col min="6410" max="6656" width="9" style="325"/>
    <col min="6657" max="6657" width="5" style="325" customWidth="1"/>
    <col min="6658" max="6658" width="37.25" style="325" customWidth="1"/>
    <col min="6659" max="6659" width="13.75" style="325" customWidth="1"/>
    <col min="6660" max="6663" width="14.375" style="325" customWidth="1"/>
    <col min="6664" max="6664" width="12.875" style="325" customWidth="1"/>
    <col min="6665" max="6665" width="13.75" style="325" customWidth="1"/>
    <col min="6666" max="6912" width="9" style="325"/>
    <col min="6913" max="6913" width="5" style="325" customWidth="1"/>
    <col min="6914" max="6914" width="37.25" style="325" customWidth="1"/>
    <col min="6915" max="6915" width="13.75" style="325" customWidth="1"/>
    <col min="6916" max="6919" width="14.375" style="325" customWidth="1"/>
    <col min="6920" max="6920" width="12.875" style="325" customWidth="1"/>
    <col min="6921" max="6921" width="13.75" style="325" customWidth="1"/>
    <col min="6922" max="7168" width="9" style="325"/>
    <col min="7169" max="7169" width="5" style="325" customWidth="1"/>
    <col min="7170" max="7170" width="37.25" style="325" customWidth="1"/>
    <col min="7171" max="7171" width="13.75" style="325" customWidth="1"/>
    <col min="7172" max="7175" width="14.375" style="325" customWidth="1"/>
    <col min="7176" max="7176" width="12.875" style="325" customWidth="1"/>
    <col min="7177" max="7177" width="13.75" style="325" customWidth="1"/>
    <col min="7178" max="7424" width="9" style="325"/>
    <col min="7425" max="7425" width="5" style="325" customWidth="1"/>
    <col min="7426" max="7426" width="37.25" style="325" customWidth="1"/>
    <col min="7427" max="7427" width="13.75" style="325" customWidth="1"/>
    <col min="7428" max="7431" width="14.375" style="325" customWidth="1"/>
    <col min="7432" max="7432" width="12.875" style="325" customWidth="1"/>
    <col min="7433" max="7433" width="13.75" style="325" customWidth="1"/>
    <col min="7434" max="7680" width="9" style="325"/>
    <col min="7681" max="7681" width="5" style="325" customWidth="1"/>
    <col min="7682" max="7682" width="37.25" style="325" customWidth="1"/>
    <col min="7683" max="7683" width="13.75" style="325" customWidth="1"/>
    <col min="7684" max="7687" width="14.375" style="325" customWidth="1"/>
    <col min="7688" max="7688" width="12.875" style="325" customWidth="1"/>
    <col min="7689" max="7689" width="13.75" style="325" customWidth="1"/>
    <col min="7690" max="7936" width="9" style="325"/>
    <col min="7937" max="7937" width="5" style="325" customWidth="1"/>
    <col min="7938" max="7938" width="37.25" style="325" customWidth="1"/>
    <col min="7939" max="7939" width="13.75" style="325" customWidth="1"/>
    <col min="7940" max="7943" width="14.375" style="325" customWidth="1"/>
    <col min="7944" max="7944" width="12.875" style="325" customWidth="1"/>
    <col min="7945" max="7945" width="13.75" style="325" customWidth="1"/>
    <col min="7946" max="8192" width="9" style="325"/>
    <col min="8193" max="8193" width="5" style="325" customWidth="1"/>
    <col min="8194" max="8194" width="37.25" style="325" customWidth="1"/>
    <col min="8195" max="8195" width="13.75" style="325" customWidth="1"/>
    <col min="8196" max="8199" width="14.375" style="325" customWidth="1"/>
    <col min="8200" max="8200" width="12.875" style="325" customWidth="1"/>
    <col min="8201" max="8201" width="13.75" style="325" customWidth="1"/>
    <col min="8202" max="8448" width="9" style="325"/>
    <col min="8449" max="8449" width="5" style="325" customWidth="1"/>
    <col min="8450" max="8450" width="37.25" style="325" customWidth="1"/>
    <col min="8451" max="8451" width="13.75" style="325" customWidth="1"/>
    <col min="8452" max="8455" width="14.375" style="325" customWidth="1"/>
    <col min="8456" max="8456" width="12.875" style="325" customWidth="1"/>
    <col min="8457" max="8457" width="13.75" style="325" customWidth="1"/>
    <col min="8458" max="8704" width="9" style="325"/>
    <col min="8705" max="8705" width="5" style="325" customWidth="1"/>
    <col min="8706" max="8706" width="37.25" style="325" customWidth="1"/>
    <col min="8707" max="8707" width="13.75" style="325" customWidth="1"/>
    <col min="8708" max="8711" width="14.375" style="325" customWidth="1"/>
    <col min="8712" max="8712" width="12.875" style="325" customWidth="1"/>
    <col min="8713" max="8713" width="13.75" style="325" customWidth="1"/>
    <col min="8714" max="8960" width="9" style="325"/>
    <col min="8961" max="8961" width="5" style="325" customWidth="1"/>
    <col min="8962" max="8962" width="37.25" style="325" customWidth="1"/>
    <col min="8963" max="8963" width="13.75" style="325" customWidth="1"/>
    <col min="8964" max="8967" width="14.375" style="325" customWidth="1"/>
    <col min="8968" max="8968" width="12.875" style="325" customWidth="1"/>
    <col min="8969" max="8969" width="13.75" style="325" customWidth="1"/>
    <col min="8970" max="9216" width="9" style="325"/>
    <col min="9217" max="9217" width="5" style="325" customWidth="1"/>
    <col min="9218" max="9218" width="37.25" style="325" customWidth="1"/>
    <col min="9219" max="9219" width="13.75" style="325" customWidth="1"/>
    <col min="9220" max="9223" width="14.375" style="325" customWidth="1"/>
    <col min="9224" max="9224" width="12.875" style="325" customWidth="1"/>
    <col min="9225" max="9225" width="13.75" style="325" customWidth="1"/>
    <col min="9226" max="9472" width="9" style="325"/>
    <col min="9473" max="9473" width="5" style="325" customWidth="1"/>
    <col min="9474" max="9474" width="37.25" style="325" customWidth="1"/>
    <col min="9475" max="9475" width="13.75" style="325" customWidth="1"/>
    <col min="9476" max="9479" width="14.375" style="325" customWidth="1"/>
    <col min="9480" max="9480" width="12.875" style="325" customWidth="1"/>
    <col min="9481" max="9481" width="13.75" style="325" customWidth="1"/>
    <col min="9482" max="9728" width="9" style="325"/>
    <col min="9729" max="9729" width="5" style="325" customWidth="1"/>
    <col min="9730" max="9730" width="37.25" style="325" customWidth="1"/>
    <col min="9731" max="9731" width="13.75" style="325" customWidth="1"/>
    <col min="9732" max="9735" width="14.375" style="325" customWidth="1"/>
    <col min="9736" max="9736" width="12.875" style="325" customWidth="1"/>
    <col min="9737" max="9737" width="13.75" style="325" customWidth="1"/>
    <col min="9738" max="9984" width="9" style="325"/>
    <col min="9985" max="9985" width="5" style="325" customWidth="1"/>
    <col min="9986" max="9986" width="37.25" style="325" customWidth="1"/>
    <col min="9987" max="9987" width="13.75" style="325" customWidth="1"/>
    <col min="9988" max="9991" width="14.375" style="325" customWidth="1"/>
    <col min="9992" max="9992" width="12.875" style="325" customWidth="1"/>
    <col min="9993" max="9993" width="13.75" style="325" customWidth="1"/>
    <col min="9994" max="10240" width="9" style="325"/>
    <col min="10241" max="10241" width="5" style="325" customWidth="1"/>
    <col min="10242" max="10242" width="37.25" style="325" customWidth="1"/>
    <col min="10243" max="10243" width="13.75" style="325" customWidth="1"/>
    <col min="10244" max="10247" width="14.375" style="325" customWidth="1"/>
    <col min="10248" max="10248" width="12.875" style="325" customWidth="1"/>
    <col min="10249" max="10249" width="13.75" style="325" customWidth="1"/>
    <col min="10250" max="10496" width="9" style="325"/>
    <col min="10497" max="10497" width="5" style="325" customWidth="1"/>
    <col min="10498" max="10498" width="37.25" style="325" customWidth="1"/>
    <col min="10499" max="10499" width="13.75" style="325" customWidth="1"/>
    <col min="10500" max="10503" width="14.375" style="325" customWidth="1"/>
    <col min="10504" max="10504" width="12.875" style="325" customWidth="1"/>
    <col min="10505" max="10505" width="13.75" style="325" customWidth="1"/>
    <col min="10506" max="10752" width="9" style="325"/>
    <col min="10753" max="10753" width="5" style="325" customWidth="1"/>
    <col min="10754" max="10754" width="37.25" style="325" customWidth="1"/>
    <col min="10755" max="10755" width="13.75" style="325" customWidth="1"/>
    <col min="10756" max="10759" width="14.375" style="325" customWidth="1"/>
    <col min="10760" max="10760" width="12.875" style="325" customWidth="1"/>
    <col min="10761" max="10761" width="13.75" style="325" customWidth="1"/>
    <col min="10762" max="11008" width="9" style="325"/>
    <col min="11009" max="11009" width="5" style="325" customWidth="1"/>
    <col min="11010" max="11010" width="37.25" style="325" customWidth="1"/>
    <col min="11011" max="11011" width="13.75" style="325" customWidth="1"/>
    <col min="11012" max="11015" width="14.375" style="325" customWidth="1"/>
    <col min="11016" max="11016" width="12.875" style="325" customWidth="1"/>
    <col min="11017" max="11017" width="13.75" style="325" customWidth="1"/>
    <col min="11018" max="11264" width="9" style="325"/>
    <col min="11265" max="11265" width="5" style="325" customWidth="1"/>
    <col min="11266" max="11266" width="37.25" style="325" customWidth="1"/>
    <col min="11267" max="11267" width="13.75" style="325" customWidth="1"/>
    <col min="11268" max="11271" width="14.375" style="325" customWidth="1"/>
    <col min="11272" max="11272" width="12.875" style="325" customWidth="1"/>
    <col min="11273" max="11273" width="13.75" style="325" customWidth="1"/>
    <col min="11274" max="11520" width="9" style="325"/>
    <col min="11521" max="11521" width="5" style="325" customWidth="1"/>
    <col min="11522" max="11522" width="37.25" style="325" customWidth="1"/>
    <col min="11523" max="11523" width="13.75" style="325" customWidth="1"/>
    <col min="11524" max="11527" width="14.375" style="325" customWidth="1"/>
    <col min="11528" max="11528" width="12.875" style="325" customWidth="1"/>
    <col min="11529" max="11529" width="13.75" style="325" customWidth="1"/>
    <col min="11530" max="11776" width="9" style="325"/>
    <col min="11777" max="11777" width="5" style="325" customWidth="1"/>
    <col min="11778" max="11778" width="37.25" style="325" customWidth="1"/>
    <col min="11779" max="11779" width="13.75" style="325" customWidth="1"/>
    <col min="11780" max="11783" width="14.375" style="325" customWidth="1"/>
    <col min="11784" max="11784" width="12.875" style="325" customWidth="1"/>
    <col min="11785" max="11785" width="13.75" style="325" customWidth="1"/>
    <col min="11786" max="12032" width="9" style="325"/>
    <col min="12033" max="12033" width="5" style="325" customWidth="1"/>
    <col min="12034" max="12034" width="37.25" style="325" customWidth="1"/>
    <col min="12035" max="12035" width="13.75" style="325" customWidth="1"/>
    <col min="12036" max="12039" width="14.375" style="325" customWidth="1"/>
    <col min="12040" max="12040" width="12.875" style="325" customWidth="1"/>
    <col min="12041" max="12041" width="13.75" style="325" customWidth="1"/>
    <col min="12042" max="12288" width="9" style="325"/>
    <col min="12289" max="12289" width="5" style="325" customWidth="1"/>
    <col min="12290" max="12290" width="37.25" style="325" customWidth="1"/>
    <col min="12291" max="12291" width="13.75" style="325" customWidth="1"/>
    <col min="12292" max="12295" width="14.375" style="325" customWidth="1"/>
    <col min="12296" max="12296" width="12.875" style="325" customWidth="1"/>
    <col min="12297" max="12297" width="13.75" style="325" customWidth="1"/>
    <col min="12298" max="12544" width="9" style="325"/>
    <col min="12545" max="12545" width="5" style="325" customWidth="1"/>
    <col min="12546" max="12546" width="37.25" style="325" customWidth="1"/>
    <col min="12547" max="12547" width="13.75" style="325" customWidth="1"/>
    <col min="12548" max="12551" width="14.375" style="325" customWidth="1"/>
    <col min="12552" max="12552" width="12.875" style="325" customWidth="1"/>
    <col min="12553" max="12553" width="13.75" style="325" customWidth="1"/>
    <col min="12554" max="12800" width="9" style="325"/>
    <col min="12801" max="12801" width="5" style="325" customWidth="1"/>
    <col min="12802" max="12802" width="37.25" style="325" customWidth="1"/>
    <col min="12803" max="12803" width="13.75" style="325" customWidth="1"/>
    <col min="12804" max="12807" width="14.375" style="325" customWidth="1"/>
    <col min="12808" max="12808" width="12.875" style="325" customWidth="1"/>
    <col min="12809" max="12809" width="13.75" style="325" customWidth="1"/>
    <col min="12810" max="13056" width="9" style="325"/>
    <col min="13057" max="13057" width="5" style="325" customWidth="1"/>
    <col min="13058" max="13058" width="37.25" style="325" customWidth="1"/>
    <col min="13059" max="13059" width="13.75" style="325" customWidth="1"/>
    <col min="13060" max="13063" width="14.375" style="325" customWidth="1"/>
    <col min="13064" max="13064" width="12.875" style="325" customWidth="1"/>
    <col min="13065" max="13065" width="13.75" style="325" customWidth="1"/>
    <col min="13066" max="13312" width="9" style="325"/>
    <col min="13313" max="13313" width="5" style="325" customWidth="1"/>
    <col min="13314" max="13314" width="37.25" style="325" customWidth="1"/>
    <col min="13315" max="13315" width="13.75" style="325" customWidth="1"/>
    <col min="13316" max="13319" width="14.375" style="325" customWidth="1"/>
    <col min="13320" max="13320" width="12.875" style="325" customWidth="1"/>
    <col min="13321" max="13321" width="13.75" style="325" customWidth="1"/>
    <col min="13322" max="13568" width="9" style="325"/>
    <col min="13569" max="13569" width="5" style="325" customWidth="1"/>
    <col min="13570" max="13570" width="37.25" style="325" customWidth="1"/>
    <col min="13571" max="13571" width="13.75" style="325" customWidth="1"/>
    <col min="13572" max="13575" width="14.375" style="325" customWidth="1"/>
    <col min="13576" max="13576" width="12.875" style="325" customWidth="1"/>
    <col min="13577" max="13577" width="13.75" style="325" customWidth="1"/>
    <col min="13578" max="13824" width="9" style="325"/>
    <col min="13825" max="13825" width="5" style="325" customWidth="1"/>
    <col min="13826" max="13826" width="37.25" style="325" customWidth="1"/>
    <col min="13827" max="13827" width="13.75" style="325" customWidth="1"/>
    <col min="13828" max="13831" width="14.375" style="325" customWidth="1"/>
    <col min="13832" max="13832" width="12.875" style="325" customWidth="1"/>
    <col min="13833" max="13833" width="13.75" style="325" customWidth="1"/>
    <col min="13834" max="14080" width="9" style="325"/>
    <col min="14081" max="14081" width="5" style="325" customWidth="1"/>
    <col min="14082" max="14082" width="37.25" style="325" customWidth="1"/>
    <col min="14083" max="14083" width="13.75" style="325" customWidth="1"/>
    <col min="14084" max="14087" width="14.375" style="325" customWidth="1"/>
    <col min="14088" max="14088" width="12.875" style="325" customWidth="1"/>
    <col min="14089" max="14089" width="13.75" style="325" customWidth="1"/>
    <col min="14090" max="14336" width="9" style="325"/>
    <col min="14337" max="14337" width="5" style="325" customWidth="1"/>
    <col min="14338" max="14338" width="37.25" style="325" customWidth="1"/>
    <col min="14339" max="14339" width="13.75" style="325" customWidth="1"/>
    <col min="14340" max="14343" width="14.375" style="325" customWidth="1"/>
    <col min="14344" max="14344" width="12.875" style="325" customWidth="1"/>
    <col min="14345" max="14345" width="13.75" style="325" customWidth="1"/>
    <col min="14346" max="14592" width="9" style="325"/>
    <col min="14593" max="14593" width="5" style="325" customWidth="1"/>
    <col min="14594" max="14594" width="37.25" style="325" customWidth="1"/>
    <col min="14595" max="14595" width="13.75" style="325" customWidth="1"/>
    <col min="14596" max="14599" width="14.375" style="325" customWidth="1"/>
    <col min="14600" max="14600" width="12.875" style="325" customWidth="1"/>
    <col min="14601" max="14601" width="13.75" style="325" customWidth="1"/>
    <col min="14602" max="14848" width="9" style="325"/>
    <col min="14849" max="14849" width="5" style="325" customWidth="1"/>
    <col min="14850" max="14850" width="37.25" style="325" customWidth="1"/>
    <col min="14851" max="14851" width="13.75" style="325" customWidth="1"/>
    <col min="14852" max="14855" width="14.375" style="325" customWidth="1"/>
    <col min="14856" max="14856" width="12.875" style="325" customWidth="1"/>
    <col min="14857" max="14857" width="13.75" style="325" customWidth="1"/>
    <col min="14858" max="15104" width="9" style="325"/>
    <col min="15105" max="15105" width="5" style="325" customWidth="1"/>
    <col min="15106" max="15106" width="37.25" style="325" customWidth="1"/>
    <col min="15107" max="15107" width="13.75" style="325" customWidth="1"/>
    <col min="15108" max="15111" width="14.375" style="325" customWidth="1"/>
    <col min="15112" max="15112" width="12.875" style="325" customWidth="1"/>
    <col min="15113" max="15113" width="13.75" style="325" customWidth="1"/>
    <col min="15114" max="15360" width="9" style="325"/>
    <col min="15361" max="15361" width="5" style="325" customWidth="1"/>
    <col min="15362" max="15362" width="37.25" style="325" customWidth="1"/>
    <col min="15363" max="15363" width="13.75" style="325" customWidth="1"/>
    <col min="15364" max="15367" width="14.375" style="325" customWidth="1"/>
    <col min="15368" max="15368" width="12.875" style="325" customWidth="1"/>
    <col min="15369" max="15369" width="13.75" style="325" customWidth="1"/>
    <col min="15370" max="15616" width="9" style="325"/>
    <col min="15617" max="15617" width="5" style="325" customWidth="1"/>
    <col min="15618" max="15618" width="37.25" style="325" customWidth="1"/>
    <col min="15619" max="15619" width="13.75" style="325" customWidth="1"/>
    <col min="15620" max="15623" width="14.375" style="325" customWidth="1"/>
    <col min="15624" max="15624" width="12.875" style="325" customWidth="1"/>
    <col min="15625" max="15625" width="13.75" style="325" customWidth="1"/>
    <col min="15626" max="15872" width="9" style="325"/>
    <col min="15873" max="15873" width="5" style="325" customWidth="1"/>
    <col min="15874" max="15874" width="37.25" style="325" customWidth="1"/>
    <col min="15875" max="15875" width="13.75" style="325" customWidth="1"/>
    <col min="15876" max="15879" width="14.375" style="325" customWidth="1"/>
    <col min="15880" max="15880" width="12.875" style="325" customWidth="1"/>
    <col min="15881" max="15881" width="13.75" style="325" customWidth="1"/>
    <col min="15882" max="16128" width="9" style="325"/>
    <col min="16129" max="16129" width="5" style="325" customWidth="1"/>
    <col min="16130" max="16130" width="37.25" style="325" customWidth="1"/>
    <col min="16131" max="16131" width="13.75" style="325" customWidth="1"/>
    <col min="16132" max="16135" width="14.375" style="325" customWidth="1"/>
    <col min="16136" max="16136" width="12.875" style="325" customWidth="1"/>
    <col min="16137" max="16137" width="13.75" style="325" customWidth="1"/>
    <col min="16138" max="16384" width="9" style="325"/>
  </cols>
  <sheetData>
    <row r="1" spans="1:10" s="298" customFormat="1" x14ac:dyDescent="0.5">
      <c r="A1" s="496" t="s">
        <v>1913</v>
      </c>
      <c r="B1" s="496"/>
      <c r="C1" s="496"/>
      <c r="D1" s="496"/>
      <c r="E1" s="496"/>
      <c r="F1" s="496"/>
      <c r="G1" s="496"/>
      <c r="H1" s="496"/>
      <c r="I1" s="496"/>
    </row>
    <row r="2" spans="1:10" s="298" customFormat="1" x14ac:dyDescent="0.5">
      <c r="A2" s="496" t="s">
        <v>2125</v>
      </c>
      <c r="B2" s="496"/>
      <c r="C2" s="496"/>
      <c r="D2" s="496"/>
      <c r="E2" s="496"/>
      <c r="F2" s="496"/>
      <c r="G2" s="496"/>
      <c r="H2" s="496"/>
      <c r="I2" s="496"/>
    </row>
    <row r="3" spans="1:10" s="298" customFormat="1" x14ac:dyDescent="0.5">
      <c r="A3" s="496" t="s">
        <v>1914</v>
      </c>
      <c r="B3" s="496"/>
      <c r="C3" s="496"/>
      <c r="D3" s="496"/>
      <c r="E3" s="496"/>
      <c r="F3" s="496"/>
      <c r="G3" s="496"/>
      <c r="H3" s="496"/>
      <c r="I3" s="496"/>
    </row>
    <row r="4" spans="1:10" s="301" customFormat="1" ht="21" x14ac:dyDescent="0.45">
      <c r="A4" s="299"/>
      <c r="B4" s="299"/>
      <c r="C4" s="300"/>
    </row>
    <row r="5" spans="1:10" s="303" customFormat="1" ht="21" x14ac:dyDescent="0.45">
      <c r="A5" s="497" t="s">
        <v>253</v>
      </c>
      <c r="B5" s="497" t="s">
        <v>1915</v>
      </c>
      <c r="C5" s="498" t="s">
        <v>263</v>
      </c>
      <c r="D5" s="499" t="s">
        <v>892</v>
      </c>
      <c r="E5" s="499"/>
      <c r="F5" s="499"/>
      <c r="G5" s="499"/>
      <c r="H5" s="499"/>
      <c r="I5" s="528" t="s">
        <v>256</v>
      </c>
      <c r="J5" s="302"/>
    </row>
    <row r="6" spans="1:10" s="304" customFormat="1" ht="21" x14ac:dyDescent="0.2">
      <c r="A6" s="497"/>
      <c r="B6" s="497"/>
      <c r="C6" s="498"/>
      <c r="D6" s="529" t="s">
        <v>893</v>
      </c>
      <c r="E6" s="529"/>
      <c r="F6" s="530" t="s">
        <v>265</v>
      </c>
      <c r="G6" s="530"/>
      <c r="H6" s="530"/>
      <c r="I6" s="528"/>
    </row>
    <row r="7" spans="1:10" s="303" customFormat="1" ht="54" x14ac:dyDescent="0.45">
      <c r="A7" s="497"/>
      <c r="B7" s="497"/>
      <c r="C7" s="498"/>
      <c r="D7" s="305" t="s">
        <v>1916</v>
      </c>
      <c r="E7" s="305" t="s">
        <v>1917</v>
      </c>
      <c r="F7" s="306" t="s">
        <v>1916</v>
      </c>
      <c r="G7" s="306" t="s">
        <v>1917</v>
      </c>
      <c r="H7" s="306" t="s">
        <v>1918</v>
      </c>
      <c r="I7" s="528"/>
      <c r="J7" s="302"/>
    </row>
    <row r="8" spans="1:10" s="310" customFormat="1" ht="21" x14ac:dyDescent="0.2">
      <c r="A8" s="307">
        <v>1</v>
      </c>
      <c r="B8" s="308" t="s">
        <v>739</v>
      </c>
      <c r="C8" s="309">
        <v>3194375</v>
      </c>
      <c r="D8" s="309">
        <v>0</v>
      </c>
      <c r="E8" s="309">
        <v>0</v>
      </c>
      <c r="F8" s="309">
        <v>81138.25</v>
      </c>
      <c r="G8" s="309">
        <v>81138.25</v>
      </c>
      <c r="H8" s="309">
        <v>0</v>
      </c>
      <c r="I8" s="309">
        <v>3032098.5</v>
      </c>
    </row>
    <row r="9" spans="1:10" s="313" customFormat="1" ht="21" x14ac:dyDescent="0.2">
      <c r="A9" s="311">
        <v>2</v>
      </c>
      <c r="B9" s="308" t="s">
        <v>360</v>
      </c>
      <c r="C9" s="312">
        <v>777219.22</v>
      </c>
      <c r="D9" s="312">
        <v>40000</v>
      </c>
      <c r="E9" s="312">
        <v>40000</v>
      </c>
      <c r="F9" s="312">
        <v>2924.01</v>
      </c>
      <c r="G9" s="312">
        <v>2924.01</v>
      </c>
      <c r="H9" s="312">
        <v>0</v>
      </c>
      <c r="I9" s="312">
        <v>691371.2</v>
      </c>
    </row>
    <row r="10" spans="1:10" s="313" customFormat="1" ht="21" x14ac:dyDescent="0.2">
      <c r="A10" s="311">
        <v>3</v>
      </c>
      <c r="B10" s="308" t="s">
        <v>1693</v>
      </c>
      <c r="C10" s="312">
        <v>8462923.2699999996</v>
      </c>
      <c r="D10" s="312">
        <v>241939.98999999996</v>
      </c>
      <c r="E10" s="312">
        <v>241939.98999999996</v>
      </c>
      <c r="F10" s="312">
        <v>289791</v>
      </c>
      <c r="G10" s="312">
        <v>289791</v>
      </c>
      <c r="H10" s="312">
        <v>0</v>
      </c>
      <c r="I10" s="312">
        <v>7399461.29</v>
      </c>
    </row>
    <row r="11" spans="1:10" s="317" customFormat="1" ht="21" x14ac:dyDescent="0.2">
      <c r="A11" s="314">
        <v>4</v>
      </c>
      <c r="B11" s="315" t="s">
        <v>512</v>
      </c>
      <c r="C11" s="316">
        <v>345550</v>
      </c>
      <c r="D11" s="316">
        <v>1677.5</v>
      </c>
      <c r="E11" s="316">
        <v>1677.5</v>
      </c>
      <c r="F11" s="316">
        <v>0</v>
      </c>
      <c r="G11" s="316">
        <v>0</v>
      </c>
      <c r="H11" s="316">
        <v>0</v>
      </c>
      <c r="I11" s="316">
        <v>342195</v>
      </c>
    </row>
    <row r="12" spans="1:10" s="313" customFormat="1" ht="21" x14ac:dyDescent="0.2">
      <c r="A12" s="307">
        <v>5</v>
      </c>
      <c r="B12" s="308" t="s">
        <v>22</v>
      </c>
      <c r="C12" s="312">
        <v>5687959</v>
      </c>
      <c r="D12" s="312">
        <v>97970</v>
      </c>
      <c r="E12" s="312">
        <v>97970</v>
      </c>
      <c r="F12" s="312">
        <v>51225</v>
      </c>
      <c r="G12" s="312">
        <v>51225</v>
      </c>
      <c r="H12" s="312">
        <v>0</v>
      </c>
      <c r="I12" s="312">
        <v>5389569</v>
      </c>
    </row>
    <row r="13" spans="1:10" s="313" customFormat="1" ht="21" x14ac:dyDescent="0.2">
      <c r="A13" s="311">
        <v>6</v>
      </c>
      <c r="B13" s="308" t="s">
        <v>1229</v>
      </c>
      <c r="C13" s="312">
        <v>321658</v>
      </c>
      <c r="D13" s="312">
        <v>0</v>
      </c>
      <c r="E13" s="312">
        <v>0</v>
      </c>
      <c r="F13" s="312">
        <v>0</v>
      </c>
      <c r="G13" s="312">
        <v>0</v>
      </c>
      <c r="H13" s="312">
        <v>0</v>
      </c>
      <c r="I13" s="312">
        <v>321658</v>
      </c>
    </row>
    <row r="14" spans="1:10" s="313" customFormat="1" ht="21" x14ac:dyDescent="0.2">
      <c r="A14" s="311">
        <v>7</v>
      </c>
      <c r="B14" s="308" t="s">
        <v>308</v>
      </c>
      <c r="C14" s="312">
        <v>1217800</v>
      </c>
      <c r="D14" s="312">
        <v>15105</v>
      </c>
      <c r="E14" s="312">
        <v>15105</v>
      </c>
      <c r="F14" s="312">
        <v>0</v>
      </c>
      <c r="G14" s="312">
        <v>0</v>
      </c>
      <c r="H14" s="312">
        <v>0</v>
      </c>
      <c r="I14" s="312">
        <v>1187590</v>
      </c>
    </row>
    <row r="15" spans="1:10" s="317" customFormat="1" ht="21" x14ac:dyDescent="0.2">
      <c r="A15" s="314">
        <v>8</v>
      </c>
      <c r="B15" s="315" t="s">
        <v>19</v>
      </c>
      <c r="C15" s="316">
        <v>5890279.04</v>
      </c>
      <c r="D15" s="316">
        <v>360146.95</v>
      </c>
      <c r="E15" s="316">
        <v>360146.95</v>
      </c>
      <c r="F15" s="316">
        <v>0</v>
      </c>
      <c r="G15" s="316">
        <v>0</v>
      </c>
      <c r="H15" s="316">
        <v>0</v>
      </c>
      <c r="I15" s="316">
        <v>5169985.1400000006</v>
      </c>
    </row>
    <row r="16" spans="1:10" s="313" customFormat="1" ht="21" x14ac:dyDescent="0.2">
      <c r="A16" s="307">
        <v>9</v>
      </c>
      <c r="B16" s="308" t="s">
        <v>1067</v>
      </c>
      <c r="C16" s="312">
        <v>4608282</v>
      </c>
      <c r="D16" s="312">
        <v>298486</v>
      </c>
      <c r="E16" s="312">
        <v>298486</v>
      </c>
      <c r="F16" s="312">
        <v>0</v>
      </c>
      <c r="G16" s="312">
        <v>0</v>
      </c>
      <c r="H16" s="312">
        <v>0</v>
      </c>
      <c r="I16" s="312">
        <v>4011310</v>
      </c>
    </row>
    <row r="17" spans="1:9" s="317" customFormat="1" ht="21" x14ac:dyDescent="0.2">
      <c r="A17" s="311">
        <v>10</v>
      </c>
      <c r="B17" s="315" t="s">
        <v>706</v>
      </c>
      <c r="C17" s="316">
        <v>2115946</v>
      </c>
      <c r="D17" s="316">
        <v>0</v>
      </c>
      <c r="E17" s="316">
        <v>0</v>
      </c>
      <c r="F17" s="316">
        <v>35745.504999999997</v>
      </c>
      <c r="G17" s="316">
        <v>35745.495000000003</v>
      </c>
      <c r="H17" s="316">
        <v>0</v>
      </c>
      <c r="I17" s="316">
        <v>2044455</v>
      </c>
    </row>
    <row r="18" spans="1:9" s="313" customFormat="1" ht="21" x14ac:dyDescent="0.2">
      <c r="A18" s="311">
        <v>11</v>
      </c>
      <c r="B18" s="308" t="s">
        <v>152</v>
      </c>
      <c r="C18" s="312">
        <v>2703220</v>
      </c>
      <c r="D18" s="312">
        <v>80000</v>
      </c>
      <c r="E18" s="312">
        <v>80000</v>
      </c>
      <c r="F18" s="312">
        <v>0</v>
      </c>
      <c r="G18" s="312">
        <v>0</v>
      </c>
      <c r="H18" s="312">
        <v>0</v>
      </c>
      <c r="I18" s="312">
        <v>2543220</v>
      </c>
    </row>
    <row r="19" spans="1:9" s="317" customFormat="1" ht="21" x14ac:dyDescent="0.2">
      <c r="A19" s="314">
        <v>12</v>
      </c>
      <c r="B19" s="315" t="s">
        <v>283</v>
      </c>
      <c r="C19" s="316">
        <v>366582</v>
      </c>
      <c r="D19" s="316">
        <v>29326.560000000001</v>
      </c>
      <c r="E19" s="316">
        <v>29326.560000000001</v>
      </c>
      <c r="F19" s="316">
        <v>0</v>
      </c>
      <c r="G19" s="316">
        <v>0</v>
      </c>
      <c r="H19" s="316">
        <v>0</v>
      </c>
      <c r="I19" s="316">
        <v>307928.88</v>
      </c>
    </row>
    <row r="20" spans="1:9" s="313" customFormat="1" ht="21" x14ac:dyDescent="0.2">
      <c r="A20" s="307">
        <v>13</v>
      </c>
      <c r="B20" s="308" t="s">
        <v>1904</v>
      </c>
      <c r="C20" s="312">
        <v>922108</v>
      </c>
      <c r="D20" s="312">
        <v>46105.4</v>
      </c>
      <c r="E20" s="312">
        <v>46105.4</v>
      </c>
      <c r="F20" s="312">
        <v>0</v>
      </c>
      <c r="G20" s="312">
        <v>0</v>
      </c>
      <c r="H20" s="312">
        <v>0</v>
      </c>
      <c r="I20" s="312">
        <v>829897.2</v>
      </c>
    </row>
    <row r="21" spans="1:9" s="322" customFormat="1" ht="21.75" thickBot="1" x14ac:dyDescent="0.5">
      <c r="A21" s="494" t="s">
        <v>1919</v>
      </c>
      <c r="B21" s="495"/>
      <c r="C21" s="318">
        <f t="shared" ref="C21:I21" si="0">SUM(C8+C9+C10+C11+C12+C13+C14+C15+C16+C17+C18+C19+C20)</f>
        <v>36613901.530000001</v>
      </c>
      <c r="D21" s="319">
        <f t="shared" si="0"/>
        <v>1210757.3999999999</v>
      </c>
      <c r="E21" s="319">
        <f t="shared" si="0"/>
        <v>1210757.3999999999</v>
      </c>
      <c r="F21" s="320">
        <f t="shared" si="0"/>
        <v>460823.76500000001</v>
      </c>
      <c r="G21" s="320">
        <f t="shared" si="0"/>
        <v>460823.755</v>
      </c>
      <c r="H21" s="320">
        <f t="shared" si="0"/>
        <v>0</v>
      </c>
      <c r="I21" s="321">
        <f t="shared" si="0"/>
        <v>33270739.210000001</v>
      </c>
    </row>
    <row r="22" spans="1:9" ht="24" thickTop="1" x14ac:dyDescent="0.5"/>
    <row r="26" spans="1:9" x14ac:dyDescent="0.5">
      <c r="D26" s="324"/>
      <c r="E26" s="324"/>
      <c r="F26" s="324"/>
      <c r="G26" s="324"/>
      <c r="H26" s="324"/>
      <c r="I26" s="324"/>
    </row>
    <row r="27" spans="1:9" x14ac:dyDescent="0.5">
      <c r="D27" s="324"/>
      <c r="E27" s="324"/>
      <c r="F27" s="324"/>
      <c r="G27" s="324"/>
      <c r="H27" s="324"/>
      <c r="I27" s="324"/>
    </row>
    <row r="47" spans="2:10" x14ac:dyDescent="0.5">
      <c r="B47" s="326"/>
      <c r="C47" s="526"/>
      <c r="D47" s="526"/>
      <c r="E47" s="526"/>
      <c r="F47" s="527"/>
      <c r="G47" s="527"/>
      <c r="H47" s="527"/>
      <c r="I47" s="527"/>
      <c r="J47" s="327"/>
    </row>
    <row r="48" spans="2:10" x14ac:dyDescent="0.5">
      <c r="B48" s="326"/>
      <c r="C48" s="526"/>
      <c r="D48" s="526"/>
      <c r="E48" s="526"/>
      <c r="F48" s="527"/>
      <c r="G48" s="527"/>
      <c r="H48" s="527"/>
      <c r="I48" s="527"/>
      <c r="J48" s="327"/>
    </row>
    <row r="49" spans="2:10" x14ac:dyDescent="0.5">
      <c r="B49" s="326"/>
      <c r="C49" s="526"/>
      <c r="D49" s="526"/>
      <c r="E49" s="526"/>
      <c r="F49" s="527"/>
      <c r="G49" s="527"/>
      <c r="H49" s="527"/>
      <c r="I49" s="527"/>
      <c r="J49" s="327"/>
    </row>
  </sheetData>
  <mergeCells count="17">
    <mergeCell ref="A1:I1"/>
    <mergeCell ref="A2:I2"/>
    <mergeCell ref="A3:I3"/>
    <mergeCell ref="A5:A7"/>
    <mergeCell ref="B5:B7"/>
    <mergeCell ref="C5:C7"/>
    <mergeCell ref="D5:H5"/>
    <mergeCell ref="I5:I7"/>
    <mergeCell ref="D6:E6"/>
    <mergeCell ref="F6:H6"/>
    <mergeCell ref="C48:E48"/>
    <mergeCell ref="F48:I48"/>
    <mergeCell ref="C49:E49"/>
    <mergeCell ref="F49:I49"/>
    <mergeCell ref="A21:B21"/>
    <mergeCell ref="C47:E47"/>
    <mergeCell ref="F47:I4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68"/>
  <sheetViews>
    <sheetView topLeftCell="A137" workbookViewId="0">
      <selection activeCell="A3" sqref="A3:O3"/>
    </sheetView>
  </sheetViews>
  <sheetFormatPr defaultRowHeight="18.75" x14ac:dyDescent="0.4"/>
  <cols>
    <col min="1" max="1" width="4.625" style="366" customWidth="1"/>
    <col min="2" max="2" width="9.125" style="367" customWidth="1"/>
    <col min="3" max="3" width="10.625" style="366" customWidth="1"/>
    <col min="4" max="4" width="16.625" style="366" customWidth="1"/>
    <col min="5" max="5" width="22.625" style="368" customWidth="1"/>
    <col min="6" max="7" width="17.125" style="332" customWidth="1"/>
    <col min="8" max="8" width="28.125" style="332" customWidth="1"/>
    <col min="9" max="9" width="12.625" style="369" customWidth="1"/>
    <col min="10" max="13" width="11.625" style="328" customWidth="1"/>
    <col min="14" max="14" width="9.625" style="328" customWidth="1"/>
    <col min="15" max="15" width="11.625" style="328" customWidth="1"/>
    <col min="16" max="256" width="9" style="328"/>
    <col min="257" max="257" width="4.625" style="328" customWidth="1"/>
    <col min="258" max="258" width="9.125" style="328" customWidth="1"/>
    <col min="259" max="259" width="10.625" style="328" customWidth="1"/>
    <col min="260" max="260" width="16.625" style="328" customWidth="1"/>
    <col min="261" max="261" width="22.625" style="328" customWidth="1"/>
    <col min="262" max="263" width="17.125" style="328" customWidth="1"/>
    <col min="264" max="264" width="28.125" style="328" customWidth="1"/>
    <col min="265" max="265" width="12.625" style="328" customWidth="1"/>
    <col min="266" max="269" width="11.625" style="328" customWidth="1"/>
    <col min="270" max="270" width="9.625" style="328" customWidth="1"/>
    <col min="271" max="271" width="11.625" style="328" customWidth="1"/>
    <col min="272" max="512" width="9" style="328"/>
    <col min="513" max="513" width="4.625" style="328" customWidth="1"/>
    <col min="514" max="514" width="9.125" style="328" customWidth="1"/>
    <col min="515" max="515" width="10.625" style="328" customWidth="1"/>
    <col min="516" max="516" width="16.625" style="328" customWidth="1"/>
    <col min="517" max="517" width="22.625" style="328" customWidth="1"/>
    <col min="518" max="519" width="17.125" style="328" customWidth="1"/>
    <col min="520" max="520" width="28.125" style="328" customWidth="1"/>
    <col min="521" max="521" width="12.625" style="328" customWidth="1"/>
    <col min="522" max="525" width="11.625" style="328" customWidth="1"/>
    <col min="526" max="526" width="9.625" style="328" customWidth="1"/>
    <col min="527" max="527" width="11.625" style="328" customWidth="1"/>
    <col min="528" max="768" width="9" style="328"/>
    <col min="769" max="769" width="4.625" style="328" customWidth="1"/>
    <col min="770" max="770" width="9.125" style="328" customWidth="1"/>
    <col min="771" max="771" width="10.625" style="328" customWidth="1"/>
    <col min="772" max="772" width="16.625" style="328" customWidth="1"/>
    <col min="773" max="773" width="22.625" style="328" customWidth="1"/>
    <col min="774" max="775" width="17.125" style="328" customWidth="1"/>
    <col min="776" max="776" width="28.125" style="328" customWidth="1"/>
    <col min="777" max="777" width="12.625" style="328" customWidth="1"/>
    <col min="778" max="781" width="11.625" style="328" customWidth="1"/>
    <col min="782" max="782" width="9.625" style="328" customWidth="1"/>
    <col min="783" max="783" width="11.625" style="328" customWidth="1"/>
    <col min="784" max="1024" width="9" style="328"/>
    <col min="1025" max="1025" width="4.625" style="328" customWidth="1"/>
    <col min="1026" max="1026" width="9.125" style="328" customWidth="1"/>
    <col min="1027" max="1027" width="10.625" style="328" customWidth="1"/>
    <col min="1028" max="1028" width="16.625" style="328" customWidth="1"/>
    <col min="1029" max="1029" width="22.625" style="328" customWidth="1"/>
    <col min="1030" max="1031" width="17.125" style="328" customWidth="1"/>
    <col min="1032" max="1032" width="28.125" style="328" customWidth="1"/>
    <col min="1033" max="1033" width="12.625" style="328" customWidth="1"/>
    <col min="1034" max="1037" width="11.625" style="328" customWidth="1"/>
    <col min="1038" max="1038" width="9.625" style="328" customWidth="1"/>
    <col min="1039" max="1039" width="11.625" style="328" customWidth="1"/>
    <col min="1040" max="1280" width="9" style="328"/>
    <col min="1281" max="1281" width="4.625" style="328" customWidth="1"/>
    <col min="1282" max="1282" width="9.125" style="328" customWidth="1"/>
    <col min="1283" max="1283" width="10.625" style="328" customWidth="1"/>
    <col min="1284" max="1284" width="16.625" style="328" customWidth="1"/>
    <col min="1285" max="1285" width="22.625" style="328" customWidth="1"/>
    <col min="1286" max="1287" width="17.125" style="328" customWidth="1"/>
    <col min="1288" max="1288" width="28.125" style="328" customWidth="1"/>
    <col min="1289" max="1289" width="12.625" style="328" customWidth="1"/>
    <col min="1290" max="1293" width="11.625" style="328" customWidth="1"/>
    <col min="1294" max="1294" width="9.625" style="328" customWidth="1"/>
    <col min="1295" max="1295" width="11.625" style="328" customWidth="1"/>
    <col min="1296" max="1536" width="9" style="328"/>
    <col min="1537" max="1537" width="4.625" style="328" customWidth="1"/>
    <col min="1538" max="1538" width="9.125" style="328" customWidth="1"/>
    <col min="1539" max="1539" width="10.625" style="328" customWidth="1"/>
    <col min="1540" max="1540" width="16.625" style="328" customWidth="1"/>
    <col min="1541" max="1541" width="22.625" style="328" customWidth="1"/>
    <col min="1542" max="1543" width="17.125" style="328" customWidth="1"/>
    <col min="1544" max="1544" width="28.125" style="328" customWidth="1"/>
    <col min="1545" max="1545" width="12.625" style="328" customWidth="1"/>
    <col min="1546" max="1549" width="11.625" style="328" customWidth="1"/>
    <col min="1550" max="1550" width="9.625" style="328" customWidth="1"/>
    <col min="1551" max="1551" width="11.625" style="328" customWidth="1"/>
    <col min="1552" max="1792" width="9" style="328"/>
    <col min="1793" max="1793" width="4.625" style="328" customWidth="1"/>
    <col min="1794" max="1794" width="9.125" style="328" customWidth="1"/>
    <col min="1795" max="1795" width="10.625" style="328" customWidth="1"/>
    <col min="1796" max="1796" width="16.625" style="328" customWidth="1"/>
    <col min="1797" max="1797" width="22.625" style="328" customWidth="1"/>
    <col min="1798" max="1799" width="17.125" style="328" customWidth="1"/>
    <col min="1800" max="1800" width="28.125" style="328" customWidth="1"/>
    <col min="1801" max="1801" width="12.625" style="328" customWidth="1"/>
    <col min="1802" max="1805" width="11.625" style="328" customWidth="1"/>
    <col min="1806" max="1806" width="9.625" style="328" customWidth="1"/>
    <col min="1807" max="1807" width="11.625" style="328" customWidth="1"/>
    <col min="1808" max="2048" width="9" style="328"/>
    <col min="2049" max="2049" width="4.625" style="328" customWidth="1"/>
    <col min="2050" max="2050" width="9.125" style="328" customWidth="1"/>
    <col min="2051" max="2051" width="10.625" style="328" customWidth="1"/>
    <col min="2052" max="2052" width="16.625" style="328" customWidth="1"/>
    <col min="2053" max="2053" width="22.625" style="328" customWidth="1"/>
    <col min="2054" max="2055" width="17.125" style="328" customWidth="1"/>
    <col min="2056" max="2056" width="28.125" style="328" customWidth="1"/>
    <col min="2057" max="2057" width="12.625" style="328" customWidth="1"/>
    <col min="2058" max="2061" width="11.625" style="328" customWidth="1"/>
    <col min="2062" max="2062" width="9.625" style="328" customWidth="1"/>
    <col min="2063" max="2063" width="11.625" style="328" customWidth="1"/>
    <col min="2064" max="2304" width="9" style="328"/>
    <col min="2305" max="2305" width="4.625" style="328" customWidth="1"/>
    <col min="2306" max="2306" width="9.125" style="328" customWidth="1"/>
    <col min="2307" max="2307" width="10.625" style="328" customWidth="1"/>
    <col min="2308" max="2308" width="16.625" style="328" customWidth="1"/>
    <col min="2309" max="2309" width="22.625" style="328" customWidth="1"/>
    <col min="2310" max="2311" width="17.125" style="328" customWidth="1"/>
    <col min="2312" max="2312" width="28.125" style="328" customWidth="1"/>
    <col min="2313" max="2313" width="12.625" style="328" customWidth="1"/>
    <col min="2314" max="2317" width="11.625" style="328" customWidth="1"/>
    <col min="2318" max="2318" width="9.625" style="328" customWidth="1"/>
    <col min="2319" max="2319" width="11.625" style="328" customWidth="1"/>
    <col min="2320" max="2560" width="9" style="328"/>
    <col min="2561" max="2561" width="4.625" style="328" customWidth="1"/>
    <col min="2562" max="2562" width="9.125" style="328" customWidth="1"/>
    <col min="2563" max="2563" width="10.625" style="328" customWidth="1"/>
    <col min="2564" max="2564" width="16.625" style="328" customWidth="1"/>
    <col min="2565" max="2565" width="22.625" style="328" customWidth="1"/>
    <col min="2566" max="2567" width="17.125" style="328" customWidth="1"/>
    <col min="2568" max="2568" width="28.125" style="328" customWidth="1"/>
    <col min="2569" max="2569" width="12.625" style="328" customWidth="1"/>
    <col min="2570" max="2573" width="11.625" style="328" customWidth="1"/>
    <col min="2574" max="2574" width="9.625" style="328" customWidth="1"/>
    <col min="2575" max="2575" width="11.625" style="328" customWidth="1"/>
    <col min="2576" max="2816" width="9" style="328"/>
    <col min="2817" max="2817" width="4.625" style="328" customWidth="1"/>
    <col min="2818" max="2818" width="9.125" style="328" customWidth="1"/>
    <col min="2819" max="2819" width="10.625" style="328" customWidth="1"/>
    <col min="2820" max="2820" width="16.625" style="328" customWidth="1"/>
    <col min="2821" max="2821" width="22.625" style="328" customWidth="1"/>
    <col min="2822" max="2823" width="17.125" style="328" customWidth="1"/>
    <col min="2824" max="2824" width="28.125" style="328" customWidth="1"/>
    <col min="2825" max="2825" width="12.625" style="328" customWidth="1"/>
    <col min="2826" max="2829" width="11.625" style="328" customWidth="1"/>
    <col min="2830" max="2830" width="9.625" style="328" customWidth="1"/>
    <col min="2831" max="2831" width="11.625" style="328" customWidth="1"/>
    <col min="2832" max="3072" width="9" style="328"/>
    <col min="3073" max="3073" width="4.625" style="328" customWidth="1"/>
    <col min="3074" max="3074" width="9.125" style="328" customWidth="1"/>
    <col min="3075" max="3075" width="10.625" style="328" customWidth="1"/>
    <col min="3076" max="3076" width="16.625" style="328" customWidth="1"/>
    <col min="3077" max="3077" width="22.625" style="328" customWidth="1"/>
    <col min="3078" max="3079" width="17.125" style="328" customWidth="1"/>
    <col min="3080" max="3080" width="28.125" style="328" customWidth="1"/>
    <col min="3081" max="3081" width="12.625" style="328" customWidth="1"/>
    <col min="3082" max="3085" width="11.625" style="328" customWidth="1"/>
    <col min="3086" max="3086" width="9.625" style="328" customWidth="1"/>
    <col min="3087" max="3087" width="11.625" style="328" customWidth="1"/>
    <col min="3088" max="3328" width="9" style="328"/>
    <col min="3329" max="3329" width="4.625" style="328" customWidth="1"/>
    <col min="3330" max="3330" width="9.125" style="328" customWidth="1"/>
    <col min="3331" max="3331" width="10.625" style="328" customWidth="1"/>
    <col min="3332" max="3332" width="16.625" style="328" customWidth="1"/>
    <col min="3333" max="3333" width="22.625" style="328" customWidth="1"/>
    <col min="3334" max="3335" width="17.125" style="328" customWidth="1"/>
    <col min="3336" max="3336" width="28.125" style="328" customWidth="1"/>
    <col min="3337" max="3337" width="12.625" style="328" customWidth="1"/>
    <col min="3338" max="3341" width="11.625" style="328" customWidth="1"/>
    <col min="3342" max="3342" width="9.625" style="328" customWidth="1"/>
    <col min="3343" max="3343" width="11.625" style="328" customWidth="1"/>
    <col min="3344" max="3584" width="9" style="328"/>
    <col min="3585" max="3585" width="4.625" style="328" customWidth="1"/>
    <col min="3586" max="3586" width="9.125" style="328" customWidth="1"/>
    <col min="3587" max="3587" width="10.625" style="328" customWidth="1"/>
    <col min="3588" max="3588" width="16.625" style="328" customWidth="1"/>
    <col min="3589" max="3589" width="22.625" style="328" customWidth="1"/>
    <col min="3590" max="3591" width="17.125" style="328" customWidth="1"/>
    <col min="3592" max="3592" width="28.125" style="328" customWidth="1"/>
    <col min="3593" max="3593" width="12.625" style="328" customWidth="1"/>
    <col min="3594" max="3597" width="11.625" style="328" customWidth="1"/>
    <col min="3598" max="3598" width="9.625" style="328" customWidth="1"/>
    <col min="3599" max="3599" width="11.625" style="328" customWidth="1"/>
    <col min="3600" max="3840" width="9" style="328"/>
    <col min="3841" max="3841" width="4.625" style="328" customWidth="1"/>
    <col min="3842" max="3842" width="9.125" style="328" customWidth="1"/>
    <col min="3843" max="3843" width="10.625" style="328" customWidth="1"/>
    <col min="3844" max="3844" width="16.625" style="328" customWidth="1"/>
    <col min="3845" max="3845" width="22.625" style="328" customWidth="1"/>
    <col min="3846" max="3847" width="17.125" style="328" customWidth="1"/>
    <col min="3848" max="3848" width="28.125" style="328" customWidth="1"/>
    <col min="3849" max="3849" width="12.625" style="328" customWidth="1"/>
    <col min="3850" max="3853" width="11.625" style="328" customWidth="1"/>
    <col min="3854" max="3854" width="9.625" style="328" customWidth="1"/>
    <col min="3855" max="3855" width="11.625" style="328" customWidth="1"/>
    <col min="3856" max="4096" width="9" style="328"/>
    <col min="4097" max="4097" width="4.625" style="328" customWidth="1"/>
    <col min="4098" max="4098" width="9.125" style="328" customWidth="1"/>
    <col min="4099" max="4099" width="10.625" style="328" customWidth="1"/>
    <col min="4100" max="4100" width="16.625" style="328" customWidth="1"/>
    <col min="4101" max="4101" width="22.625" style="328" customWidth="1"/>
    <col min="4102" max="4103" width="17.125" style="328" customWidth="1"/>
    <col min="4104" max="4104" width="28.125" style="328" customWidth="1"/>
    <col min="4105" max="4105" width="12.625" style="328" customWidth="1"/>
    <col min="4106" max="4109" width="11.625" style="328" customWidth="1"/>
    <col min="4110" max="4110" width="9.625" style="328" customWidth="1"/>
    <col min="4111" max="4111" width="11.625" style="328" customWidth="1"/>
    <col min="4112" max="4352" width="9" style="328"/>
    <col min="4353" max="4353" width="4.625" style="328" customWidth="1"/>
    <col min="4354" max="4354" width="9.125" style="328" customWidth="1"/>
    <col min="4355" max="4355" width="10.625" style="328" customWidth="1"/>
    <col min="4356" max="4356" width="16.625" style="328" customWidth="1"/>
    <col min="4357" max="4357" width="22.625" style="328" customWidth="1"/>
    <col min="4358" max="4359" width="17.125" style="328" customWidth="1"/>
    <col min="4360" max="4360" width="28.125" style="328" customWidth="1"/>
    <col min="4361" max="4361" width="12.625" style="328" customWidth="1"/>
    <col min="4362" max="4365" width="11.625" style="328" customWidth="1"/>
    <col min="4366" max="4366" width="9.625" style="328" customWidth="1"/>
    <col min="4367" max="4367" width="11.625" style="328" customWidth="1"/>
    <col min="4368" max="4608" width="9" style="328"/>
    <col min="4609" max="4609" width="4.625" style="328" customWidth="1"/>
    <col min="4610" max="4610" width="9.125" style="328" customWidth="1"/>
    <col min="4611" max="4611" width="10.625" style="328" customWidth="1"/>
    <col min="4612" max="4612" width="16.625" style="328" customWidth="1"/>
    <col min="4613" max="4613" width="22.625" style="328" customWidth="1"/>
    <col min="4614" max="4615" width="17.125" style="328" customWidth="1"/>
    <col min="4616" max="4616" width="28.125" style="328" customWidth="1"/>
    <col min="4617" max="4617" width="12.625" style="328" customWidth="1"/>
    <col min="4618" max="4621" width="11.625" style="328" customWidth="1"/>
    <col min="4622" max="4622" width="9.625" style="328" customWidth="1"/>
    <col min="4623" max="4623" width="11.625" style="328" customWidth="1"/>
    <col min="4624" max="4864" width="9" style="328"/>
    <col min="4865" max="4865" width="4.625" style="328" customWidth="1"/>
    <col min="4866" max="4866" width="9.125" style="328" customWidth="1"/>
    <col min="4867" max="4867" width="10.625" style="328" customWidth="1"/>
    <col min="4868" max="4868" width="16.625" style="328" customWidth="1"/>
    <col min="4869" max="4869" width="22.625" style="328" customWidth="1"/>
    <col min="4870" max="4871" width="17.125" style="328" customWidth="1"/>
    <col min="4872" max="4872" width="28.125" style="328" customWidth="1"/>
    <col min="4873" max="4873" width="12.625" style="328" customWidth="1"/>
    <col min="4874" max="4877" width="11.625" style="328" customWidth="1"/>
    <col min="4878" max="4878" width="9.625" style="328" customWidth="1"/>
    <col min="4879" max="4879" width="11.625" style="328" customWidth="1"/>
    <col min="4880" max="5120" width="9" style="328"/>
    <col min="5121" max="5121" width="4.625" style="328" customWidth="1"/>
    <col min="5122" max="5122" width="9.125" style="328" customWidth="1"/>
    <col min="5123" max="5123" width="10.625" style="328" customWidth="1"/>
    <col min="5124" max="5124" width="16.625" style="328" customWidth="1"/>
    <col min="5125" max="5125" width="22.625" style="328" customWidth="1"/>
    <col min="5126" max="5127" width="17.125" style="328" customWidth="1"/>
    <col min="5128" max="5128" width="28.125" style="328" customWidth="1"/>
    <col min="5129" max="5129" width="12.625" style="328" customWidth="1"/>
    <col min="5130" max="5133" width="11.625" style="328" customWidth="1"/>
    <col min="5134" max="5134" width="9.625" style="328" customWidth="1"/>
    <col min="5135" max="5135" width="11.625" style="328" customWidth="1"/>
    <col min="5136" max="5376" width="9" style="328"/>
    <col min="5377" max="5377" width="4.625" style="328" customWidth="1"/>
    <col min="5378" max="5378" width="9.125" style="328" customWidth="1"/>
    <col min="5379" max="5379" width="10.625" style="328" customWidth="1"/>
    <col min="5380" max="5380" width="16.625" style="328" customWidth="1"/>
    <col min="5381" max="5381" width="22.625" style="328" customWidth="1"/>
    <col min="5382" max="5383" width="17.125" style="328" customWidth="1"/>
    <col min="5384" max="5384" width="28.125" style="328" customWidth="1"/>
    <col min="5385" max="5385" width="12.625" style="328" customWidth="1"/>
    <col min="5386" max="5389" width="11.625" style="328" customWidth="1"/>
    <col min="5390" max="5390" width="9.625" style="328" customWidth="1"/>
    <col min="5391" max="5391" width="11.625" style="328" customWidth="1"/>
    <col min="5392" max="5632" width="9" style="328"/>
    <col min="5633" max="5633" width="4.625" style="328" customWidth="1"/>
    <col min="5634" max="5634" width="9.125" style="328" customWidth="1"/>
    <col min="5635" max="5635" width="10.625" style="328" customWidth="1"/>
    <col min="5636" max="5636" width="16.625" style="328" customWidth="1"/>
    <col min="5637" max="5637" width="22.625" style="328" customWidth="1"/>
    <col min="5638" max="5639" width="17.125" style="328" customWidth="1"/>
    <col min="5640" max="5640" width="28.125" style="328" customWidth="1"/>
    <col min="5641" max="5641" width="12.625" style="328" customWidth="1"/>
    <col min="5642" max="5645" width="11.625" style="328" customWidth="1"/>
    <col min="5646" max="5646" width="9.625" style="328" customWidth="1"/>
    <col min="5647" max="5647" width="11.625" style="328" customWidth="1"/>
    <col min="5648" max="5888" width="9" style="328"/>
    <col min="5889" max="5889" width="4.625" style="328" customWidth="1"/>
    <col min="5890" max="5890" width="9.125" style="328" customWidth="1"/>
    <col min="5891" max="5891" width="10.625" style="328" customWidth="1"/>
    <col min="5892" max="5892" width="16.625" style="328" customWidth="1"/>
    <col min="5893" max="5893" width="22.625" style="328" customWidth="1"/>
    <col min="5894" max="5895" width="17.125" style="328" customWidth="1"/>
    <col min="5896" max="5896" width="28.125" style="328" customWidth="1"/>
    <col min="5897" max="5897" width="12.625" style="328" customWidth="1"/>
    <col min="5898" max="5901" width="11.625" style="328" customWidth="1"/>
    <col min="5902" max="5902" width="9.625" style="328" customWidth="1"/>
    <col min="5903" max="5903" width="11.625" style="328" customWidth="1"/>
    <col min="5904" max="6144" width="9" style="328"/>
    <col min="6145" max="6145" width="4.625" style="328" customWidth="1"/>
    <col min="6146" max="6146" width="9.125" style="328" customWidth="1"/>
    <col min="6147" max="6147" width="10.625" style="328" customWidth="1"/>
    <col min="6148" max="6148" width="16.625" style="328" customWidth="1"/>
    <col min="6149" max="6149" width="22.625" style="328" customWidth="1"/>
    <col min="6150" max="6151" width="17.125" style="328" customWidth="1"/>
    <col min="6152" max="6152" width="28.125" style="328" customWidth="1"/>
    <col min="6153" max="6153" width="12.625" style="328" customWidth="1"/>
    <col min="6154" max="6157" width="11.625" style="328" customWidth="1"/>
    <col min="6158" max="6158" width="9.625" style="328" customWidth="1"/>
    <col min="6159" max="6159" width="11.625" style="328" customWidth="1"/>
    <col min="6160" max="6400" width="9" style="328"/>
    <col min="6401" max="6401" width="4.625" style="328" customWidth="1"/>
    <col min="6402" max="6402" width="9.125" style="328" customWidth="1"/>
    <col min="6403" max="6403" width="10.625" style="328" customWidth="1"/>
    <col min="6404" max="6404" width="16.625" style="328" customWidth="1"/>
    <col min="6405" max="6405" width="22.625" style="328" customWidth="1"/>
    <col min="6406" max="6407" width="17.125" style="328" customWidth="1"/>
    <col min="6408" max="6408" width="28.125" style="328" customWidth="1"/>
    <col min="6409" max="6409" width="12.625" style="328" customWidth="1"/>
    <col min="6410" max="6413" width="11.625" style="328" customWidth="1"/>
    <col min="6414" max="6414" width="9.625" style="328" customWidth="1"/>
    <col min="6415" max="6415" width="11.625" style="328" customWidth="1"/>
    <col min="6416" max="6656" width="9" style="328"/>
    <col min="6657" max="6657" width="4.625" style="328" customWidth="1"/>
    <col min="6658" max="6658" width="9.125" style="328" customWidth="1"/>
    <col min="6659" max="6659" width="10.625" style="328" customWidth="1"/>
    <col min="6660" max="6660" width="16.625" style="328" customWidth="1"/>
    <col min="6661" max="6661" width="22.625" style="328" customWidth="1"/>
    <col min="6662" max="6663" width="17.125" style="328" customWidth="1"/>
    <col min="6664" max="6664" width="28.125" style="328" customWidth="1"/>
    <col min="6665" max="6665" width="12.625" style="328" customWidth="1"/>
    <col min="6666" max="6669" width="11.625" style="328" customWidth="1"/>
    <col min="6670" max="6670" width="9.625" style="328" customWidth="1"/>
    <col min="6671" max="6671" width="11.625" style="328" customWidth="1"/>
    <col min="6672" max="6912" width="9" style="328"/>
    <col min="6913" max="6913" width="4.625" style="328" customWidth="1"/>
    <col min="6914" max="6914" width="9.125" style="328" customWidth="1"/>
    <col min="6915" max="6915" width="10.625" style="328" customWidth="1"/>
    <col min="6916" max="6916" width="16.625" style="328" customWidth="1"/>
    <col min="6917" max="6917" width="22.625" style="328" customWidth="1"/>
    <col min="6918" max="6919" width="17.125" style="328" customWidth="1"/>
    <col min="6920" max="6920" width="28.125" style="328" customWidth="1"/>
    <col min="6921" max="6921" width="12.625" style="328" customWidth="1"/>
    <col min="6922" max="6925" width="11.625" style="328" customWidth="1"/>
    <col min="6926" max="6926" width="9.625" style="328" customWidth="1"/>
    <col min="6927" max="6927" width="11.625" style="328" customWidth="1"/>
    <col min="6928" max="7168" width="9" style="328"/>
    <col min="7169" max="7169" width="4.625" style="328" customWidth="1"/>
    <col min="7170" max="7170" width="9.125" style="328" customWidth="1"/>
    <col min="7171" max="7171" width="10.625" style="328" customWidth="1"/>
    <col min="7172" max="7172" width="16.625" style="328" customWidth="1"/>
    <col min="7173" max="7173" width="22.625" style="328" customWidth="1"/>
    <col min="7174" max="7175" width="17.125" style="328" customWidth="1"/>
    <col min="7176" max="7176" width="28.125" style="328" customWidth="1"/>
    <col min="7177" max="7177" width="12.625" style="328" customWidth="1"/>
    <col min="7178" max="7181" width="11.625" style="328" customWidth="1"/>
    <col min="7182" max="7182" width="9.625" style="328" customWidth="1"/>
    <col min="7183" max="7183" width="11.625" style="328" customWidth="1"/>
    <col min="7184" max="7424" width="9" style="328"/>
    <col min="7425" max="7425" width="4.625" style="328" customWidth="1"/>
    <col min="7426" max="7426" width="9.125" style="328" customWidth="1"/>
    <col min="7427" max="7427" width="10.625" style="328" customWidth="1"/>
    <col min="7428" max="7428" width="16.625" style="328" customWidth="1"/>
    <col min="7429" max="7429" width="22.625" style="328" customWidth="1"/>
    <col min="7430" max="7431" width="17.125" style="328" customWidth="1"/>
    <col min="7432" max="7432" width="28.125" style="328" customWidth="1"/>
    <col min="7433" max="7433" width="12.625" style="328" customWidth="1"/>
    <col min="7434" max="7437" width="11.625" style="328" customWidth="1"/>
    <col min="7438" max="7438" width="9.625" style="328" customWidth="1"/>
    <col min="7439" max="7439" width="11.625" style="328" customWidth="1"/>
    <col min="7440" max="7680" width="9" style="328"/>
    <col min="7681" max="7681" width="4.625" style="328" customWidth="1"/>
    <col min="7682" max="7682" width="9.125" style="328" customWidth="1"/>
    <col min="7683" max="7683" width="10.625" style="328" customWidth="1"/>
    <col min="7684" max="7684" width="16.625" style="328" customWidth="1"/>
    <col min="7685" max="7685" width="22.625" style="328" customWidth="1"/>
    <col min="7686" max="7687" width="17.125" style="328" customWidth="1"/>
    <col min="7688" max="7688" width="28.125" style="328" customWidth="1"/>
    <col min="7689" max="7689" width="12.625" style="328" customWidth="1"/>
    <col min="7690" max="7693" width="11.625" style="328" customWidth="1"/>
    <col min="7694" max="7694" width="9.625" style="328" customWidth="1"/>
    <col min="7695" max="7695" width="11.625" style="328" customWidth="1"/>
    <col min="7696" max="7936" width="9" style="328"/>
    <col min="7937" max="7937" width="4.625" style="328" customWidth="1"/>
    <col min="7938" max="7938" width="9.125" style="328" customWidth="1"/>
    <col min="7939" max="7939" width="10.625" style="328" customWidth="1"/>
    <col min="7940" max="7940" width="16.625" style="328" customWidth="1"/>
    <col min="7941" max="7941" width="22.625" style="328" customWidth="1"/>
    <col min="7942" max="7943" width="17.125" style="328" customWidth="1"/>
    <col min="7944" max="7944" width="28.125" style="328" customWidth="1"/>
    <col min="7945" max="7945" width="12.625" style="328" customWidth="1"/>
    <col min="7946" max="7949" width="11.625" style="328" customWidth="1"/>
    <col min="7950" max="7950" width="9.625" style="328" customWidth="1"/>
    <col min="7951" max="7951" width="11.625" style="328" customWidth="1"/>
    <col min="7952" max="8192" width="9" style="328"/>
    <col min="8193" max="8193" width="4.625" style="328" customWidth="1"/>
    <col min="8194" max="8194" width="9.125" style="328" customWidth="1"/>
    <col min="8195" max="8195" width="10.625" style="328" customWidth="1"/>
    <col min="8196" max="8196" width="16.625" style="328" customWidth="1"/>
    <col min="8197" max="8197" width="22.625" style="328" customWidth="1"/>
    <col min="8198" max="8199" width="17.125" style="328" customWidth="1"/>
    <col min="8200" max="8200" width="28.125" style="328" customWidth="1"/>
    <col min="8201" max="8201" width="12.625" style="328" customWidth="1"/>
    <col min="8202" max="8205" width="11.625" style="328" customWidth="1"/>
    <col min="8206" max="8206" width="9.625" style="328" customWidth="1"/>
    <col min="8207" max="8207" width="11.625" style="328" customWidth="1"/>
    <col min="8208" max="8448" width="9" style="328"/>
    <col min="8449" max="8449" width="4.625" style="328" customWidth="1"/>
    <col min="8450" max="8450" width="9.125" style="328" customWidth="1"/>
    <col min="8451" max="8451" width="10.625" style="328" customWidth="1"/>
    <col min="8452" max="8452" width="16.625" style="328" customWidth="1"/>
    <col min="8453" max="8453" width="22.625" style="328" customWidth="1"/>
    <col min="8454" max="8455" width="17.125" style="328" customWidth="1"/>
    <col min="8456" max="8456" width="28.125" style="328" customWidth="1"/>
    <col min="8457" max="8457" width="12.625" style="328" customWidth="1"/>
    <col min="8458" max="8461" width="11.625" style="328" customWidth="1"/>
    <col min="8462" max="8462" width="9.625" style="328" customWidth="1"/>
    <col min="8463" max="8463" width="11.625" style="328" customWidth="1"/>
    <col min="8464" max="8704" width="9" style="328"/>
    <col min="8705" max="8705" width="4.625" style="328" customWidth="1"/>
    <col min="8706" max="8706" width="9.125" style="328" customWidth="1"/>
    <col min="8707" max="8707" width="10.625" style="328" customWidth="1"/>
    <col min="8708" max="8708" width="16.625" style="328" customWidth="1"/>
    <col min="8709" max="8709" width="22.625" style="328" customWidth="1"/>
    <col min="8710" max="8711" width="17.125" style="328" customWidth="1"/>
    <col min="8712" max="8712" width="28.125" style="328" customWidth="1"/>
    <col min="8713" max="8713" width="12.625" style="328" customWidth="1"/>
    <col min="8714" max="8717" width="11.625" style="328" customWidth="1"/>
    <col min="8718" max="8718" width="9.625" style="328" customWidth="1"/>
    <col min="8719" max="8719" width="11.625" style="328" customWidth="1"/>
    <col min="8720" max="8960" width="9" style="328"/>
    <col min="8961" max="8961" width="4.625" style="328" customWidth="1"/>
    <col min="8962" max="8962" width="9.125" style="328" customWidth="1"/>
    <col min="8963" max="8963" width="10.625" style="328" customWidth="1"/>
    <col min="8964" max="8964" width="16.625" style="328" customWidth="1"/>
    <col min="8965" max="8965" width="22.625" style="328" customWidth="1"/>
    <col min="8966" max="8967" width="17.125" style="328" customWidth="1"/>
    <col min="8968" max="8968" width="28.125" style="328" customWidth="1"/>
    <col min="8969" max="8969" width="12.625" style="328" customWidth="1"/>
    <col min="8970" max="8973" width="11.625" style="328" customWidth="1"/>
    <col min="8974" max="8974" width="9.625" style="328" customWidth="1"/>
    <col min="8975" max="8975" width="11.625" style="328" customWidth="1"/>
    <col min="8976" max="9216" width="9" style="328"/>
    <col min="9217" max="9217" width="4.625" style="328" customWidth="1"/>
    <col min="9218" max="9218" width="9.125" style="328" customWidth="1"/>
    <col min="9219" max="9219" width="10.625" style="328" customWidth="1"/>
    <col min="9220" max="9220" width="16.625" style="328" customWidth="1"/>
    <col min="9221" max="9221" width="22.625" style="328" customWidth="1"/>
    <col min="9222" max="9223" width="17.125" style="328" customWidth="1"/>
    <col min="9224" max="9224" width="28.125" style="328" customWidth="1"/>
    <col min="9225" max="9225" width="12.625" style="328" customWidth="1"/>
    <col min="9226" max="9229" width="11.625" style="328" customWidth="1"/>
    <col min="9230" max="9230" width="9.625" style="328" customWidth="1"/>
    <col min="9231" max="9231" width="11.625" style="328" customWidth="1"/>
    <col min="9232" max="9472" width="9" style="328"/>
    <col min="9473" max="9473" width="4.625" style="328" customWidth="1"/>
    <col min="9474" max="9474" width="9.125" style="328" customWidth="1"/>
    <col min="9475" max="9475" width="10.625" style="328" customWidth="1"/>
    <col min="9476" max="9476" width="16.625" style="328" customWidth="1"/>
    <col min="9477" max="9477" width="22.625" style="328" customWidth="1"/>
    <col min="9478" max="9479" width="17.125" style="328" customWidth="1"/>
    <col min="9480" max="9480" width="28.125" style="328" customWidth="1"/>
    <col min="9481" max="9481" width="12.625" style="328" customWidth="1"/>
    <col min="9482" max="9485" width="11.625" style="328" customWidth="1"/>
    <col min="9486" max="9486" width="9.625" style="328" customWidth="1"/>
    <col min="9487" max="9487" width="11.625" style="328" customWidth="1"/>
    <col min="9488" max="9728" width="9" style="328"/>
    <col min="9729" max="9729" width="4.625" style="328" customWidth="1"/>
    <col min="9730" max="9730" width="9.125" style="328" customWidth="1"/>
    <col min="9731" max="9731" width="10.625" style="328" customWidth="1"/>
    <col min="9732" max="9732" width="16.625" style="328" customWidth="1"/>
    <col min="9733" max="9733" width="22.625" style="328" customWidth="1"/>
    <col min="9734" max="9735" width="17.125" style="328" customWidth="1"/>
    <col min="9736" max="9736" width="28.125" style="328" customWidth="1"/>
    <col min="9737" max="9737" width="12.625" style="328" customWidth="1"/>
    <col min="9738" max="9741" width="11.625" style="328" customWidth="1"/>
    <col min="9742" max="9742" width="9.625" style="328" customWidth="1"/>
    <col min="9743" max="9743" width="11.625" style="328" customWidth="1"/>
    <col min="9744" max="9984" width="9" style="328"/>
    <col min="9985" max="9985" width="4.625" style="328" customWidth="1"/>
    <col min="9986" max="9986" width="9.125" style="328" customWidth="1"/>
    <col min="9987" max="9987" width="10.625" style="328" customWidth="1"/>
    <col min="9988" max="9988" width="16.625" style="328" customWidth="1"/>
    <col min="9989" max="9989" width="22.625" style="328" customWidth="1"/>
    <col min="9990" max="9991" width="17.125" style="328" customWidth="1"/>
    <col min="9992" max="9992" width="28.125" style="328" customWidth="1"/>
    <col min="9993" max="9993" width="12.625" style="328" customWidth="1"/>
    <col min="9994" max="9997" width="11.625" style="328" customWidth="1"/>
    <col min="9998" max="9998" width="9.625" style="328" customWidth="1"/>
    <col min="9999" max="9999" width="11.625" style="328" customWidth="1"/>
    <col min="10000" max="10240" width="9" style="328"/>
    <col min="10241" max="10241" width="4.625" style="328" customWidth="1"/>
    <col min="10242" max="10242" width="9.125" style="328" customWidth="1"/>
    <col min="10243" max="10243" width="10.625" style="328" customWidth="1"/>
    <col min="10244" max="10244" width="16.625" style="328" customWidth="1"/>
    <col min="10245" max="10245" width="22.625" style="328" customWidth="1"/>
    <col min="10246" max="10247" width="17.125" style="328" customWidth="1"/>
    <col min="10248" max="10248" width="28.125" style="328" customWidth="1"/>
    <col min="10249" max="10249" width="12.625" style="328" customWidth="1"/>
    <col min="10250" max="10253" width="11.625" style="328" customWidth="1"/>
    <col min="10254" max="10254" width="9.625" style="328" customWidth="1"/>
    <col min="10255" max="10255" width="11.625" style="328" customWidth="1"/>
    <col min="10256" max="10496" width="9" style="328"/>
    <col min="10497" max="10497" width="4.625" style="328" customWidth="1"/>
    <col min="10498" max="10498" width="9.125" style="328" customWidth="1"/>
    <col min="10499" max="10499" width="10.625" style="328" customWidth="1"/>
    <col min="10500" max="10500" width="16.625" style="328" customWidth="1"/>
    <col min="10501" max="10501" width="22.625" style="328" customWidth="1"/>
    <col min="10502" max="10503" width="17.125" style="328" customWidth="1"/>
    <col min="10504" max="10504" width="28.125" style="328" customWidth="1"/>
    <col min="10505" max="10505" width="12.625" style="328" customWidth="1"/>
    <col min="10506" max="10509" width="11.625" style="328" customWidth="1"/>
    <col min="10510" max="10510" width="9.625" style="328" customWidth="1"/>
    <col min="10511" max="10511" width="11.625" style="328" customWidth="1"/>
    <col min="10512" max="10752" width="9" style="328"/>
    <col min="10753" max="10753" width="4.625" style="328" customWidth="1"/>
    <col min="10754" max="10754" width="9.125" style="328" customWidth="1"/>
    <col min="10755" max="10755" width="10.625" style="328" customWidth="1"/>
    <col min="10756" max="10756" width="16.625" style="328" customWidth="1"/>
    <col min="10757" max="10757" width="22.625" style="328" customWidth="1"/>
    <col min="10758" max="10759" width="17.125" style="328" customWidth="1"/>
    <col min="10760" max="10760" width="28.125" style="328" customWidth="1"/>
    <col min="10761" max="10761" width="12.625" style="328" customWidth="1"/>
    <col min="10762" max="10765" width="11.625" style="328" customWidth="1"/>
    <col min="10766" max="10766" width="9.625" style="328" customWidth="1"/>
    <col min="10767" max="10767" width="11.625" style="328" customWidth="1"/>
    <col min="10768" max="11008" width="9" style="328"/>
    <col min="11009" max="11009" width="4.625" style="328" customWidth="1"/>
    <col min="11010" max="11010" width="9.125" style="328" customWidth="1"/>
    <col min="11011" max="11011" width="10.625" style="328" customWidth="1"/>
    <col min="11012" max="11012" width="16.625" style="328" customWidth="1"/>
    <col min="11013" max="11013" width="22.625" style="328" customWidth="1"/>
    <col min="11014" max="11015" width="17.125" style="328" customWidth="1"/>
    <col min="11016" max="11016" width="28.125" style="328" customWidth="1"/>
    <col min="11017" max="11017" width="12.625" style="328" customWidth="1"/>
    <col min="11018" max="11021" width="11.625" style="328" customWidth="1"/>
    <col min="11022" max="11022" width="9.625" style="328" customWidth="1"/>
    <col min="11023" max="11023" width="11.625" style="328" customWidth="1"/>
    <col min="11024" max="11264" width="9" style="328"/>
    <col min="11265" max="11265" width="4.625" style="328" customWidth="1"/>
    <col min="11266" max="11266" width="9.125" style="328" customWidth="1"/>
    <col min="11267" max="11267" width="10.625" style="328" customWidth="1"/>
    <col min="11268" max="11268" width="16.625" style="328" customWidth="1"/>
    <col min="11269" max="11269" width="22.625" style="328" customWidth="1"/>
    <col min="11270" max="11271" width="17.125" style="328" customWidth="1"/>
    <col min="11272" max="11272" width="28.125" style="328" customWidth="1"/>
    <col min="11273" max="11273" width="12.625" style="328" customWidth="1"/>
    <col min="11274" max="11277" width="11.625" style="328" customWidth="1"/>
    <col min="11278" max="11278" width="9.625" style="328" customWidth="1"/>
    <col min="11279" max="11279" width="11.625" style="328" customWidth="1"/>
    <col min="11280" max="11520" width="9" style="328"/>
    <col min="11521" max="11521" width="4.625" style="328" customWidth="1"/>
    <col min="11522" max="11522" width="9.125" style="328" customWidth="1"/>
    <col min="11523" max="11523" width="10.625" style="328" customWidth="1"/>
    <col min="11524" max="11524" width="16.625" style="328" customWidth="1"/>
    <col min="11525" max="11525" width="22.625" style="328" customWidth="1"/>
    <col min="11526" max="11527" width="17.125" style="328" customWidth="1"/>
    <col min="11528" max="11528" width="28.125" style="328" customWidth="1"/>
    <col min="11529" max="11529" width="12.625" style="328" customWidth="1"/>
    <col min="11530" max="11533" width="11.625" style="328" customWidth="1"/>
    <col min="11534" max="11534" width="9.625" style="328" customWidth="1"/>
    <col min="11535" max="11535" width="11.625" style="328" customWidth="1"/>
    <col min="11536" max="11776" width="9" style="328"/>
    <col min="11777" max="11777" width="4.625" style="328" customWidth="1"/>
    <col min="11778" max="11778" width="9.125" style="328" customWidth="1"/>
    <col min="11779" max="11779" width="10.625" style="328" customWidth="1"/>
    <col min="11780" max="11780" width="16.625" style="328" customWidth="1"/>
    <col min="11781" max="11781" width="22.625" style="328" customWidth="1"/>
    <col min="11782" max="11783" width="17.125" style="328" customWidth="1"/>
    <col min="11784" max="11784" width="28.125" style="328" customWidth="1"/>
    <col min="11785" max="11785" width="12.625" style="328" customWidth="1"/>
    <col min="11786" max="11789" width="11.625" style="328" customWidth="1"/>
    <col min="11790" max="11790" width="9.625" style="328" customWidth="1"/>
    <col min="11791" max="11791" width="11.625" style="328" customWidth="1"/>
    <col min="11792" max="12032" width="9" style="328"/>
    <col min="12033" max="12033" width="4.625" style="328" customWidth="1"/>
    <col min="12034" max="12034" width="9.125" style="328" customWidth="1"/>
    <col min="12035" max="12035" width="10.625" style="328" customWidth="1"/>
    <col min="12036" max="12036" width="16.625" style="328" customWidth="1"/>
    <col min="12037" max="12037" width="22.625" style="328" customWidth="1"/>
    <col min="12038" max="12039" width="17.125" style="328" customWidth="1"/>
    <col min="12040" max="12040" width="28.125" style="328" customWidth="1"/>
    <col min="12041" max="12041" width="12.625" style="328" customWidth="1"/>
    <col min="12042" max="12045" width="11.625" style="328" customWidth="1"/>
    <col min="12046" max="12046" width="9.625" style="328" customWidth="1"/>
    <col min="12047" max="12047" width="11.625" style="328" customWidth="1"/>
    <col min="12048" max="12288" width="9" style="328"/>
    <col min="12289" max="12289" width="4.625" style="328" customWidth="1"/>
    <col min="12290" max="12290" width="9.125" style="328" customWidth="1"/>
    <col min="12291" max="12291" width="10.625" style="328" customWidth="1"/>
    <col min="12292" max="12292" width="16.625" style="328" customWidth="1"/>
    <col min="12293" max="12293" width="22.625" style="328" customWidth="1"/>
    <col min="12294" max="12295" width="17.125" style="328" customWidth="1"/>
    <col min="12296" max="12296" width="28.125" style="328" customWidth="1"/>
    <col min="12297" max="12297" width="12.625" style="328" customWidth="1"/>
    <col min="12298" max="12301" width="11.625" style="328" customWidth="1"/>
    <col min="12302" max="12302" width="9.625" style="328" customWidth="1"/>
    <col min="12303" max="12303" width="11.625" style="328" customWidth="1"/>
    <col min="12304" max="12544" width="9" style="328"/>
    <col min="12545" max="12545" width="4.625" style="328" customWidth="1"/>
    <col min="12546" max="12546" width="9.125" style="328" customWidth="1"/>
    <col min="12547" max="12547" width="10.625" style="328" customWidth="1"/>
    <col min="12548" max="12548" width="16.625" style="328" customWidth="1"/>
    <col min="12549" max="12549" width="22.625" style="328" customWidth="1"/>
    <col min="12550" max="12551" width="17.125" style="328" customWidth="1"/>
    <col min="12552" max="12552" width="28.125" style="328" customWidth="1"/>
    <col min="12553" max="12553" width="12.625" style="328" customWidth="1"/>
    <col min="12554" max="12557" width="11.625" style="328" customWidth="1"/>
    <col min="12558" max="12558" width="9.625" style="328" customWidth="1"/>
    <col min="12559" max="12559" width="11.625" style="328" customWidth="1"/>
    <col min="12560" max="12800" width="9" style="328"/>
    <col min="12801" max="12801" width="4.625" style="328" customWidth="1"/>
    <col min="12802" max="12802" width="9.125" style="328" customWidth="1"/>
    <col min="12803" max="12803" width="10.625" style="328" customWidth="1"/>
    <col min="12804" max="12804" width="16.625" style="328" customWidth="1"/>
    <col min="12805" max="12805" width="22.625" style="328" customWidth="1"/>
    <col min="12806" max="12807" width="17.125" style="328" customWidth="1"/>
    <col min="12808" max="12808" width="28.125" style="328" customWidth="1"/>
    <col min="12809" max="12809" width="12.625" style="328" customWidth="1"/>
    <col min="12810" max="12813" width="11.625" style="328" customWidth="1"/>
    <col min="12814" max="12814" width="9.625" style="328" customWidth="1"/>
    <col min="12815" max="12815" width="11.625" style="328" customWidth="1"/>
    <col min="12816" max="13056" width="9" style="328"/>
    <col min="13057" max="13057" width="4.625" style="328" customWidth="1"/>
    <col min="13058" max="13058" width="9.125" style="328" customWidth="1"/>
    <col min="13059" max="13059" width="10.625" style="328" customWidth="1"/>
    <col min="13060" max="13060" width="16.625" style="328" customWidth="1"/>
    <col min="13061" max="13061" width="22.625" style="328" customWidth="1"/>
    <col min="13062" max="13063" width="17.125" style="328" customWidth="1"/>
    <col min="13064" max="13064" width="28.125" style="328" customWidth="1"/>
    <col min="13065" max="13065" width="12.625" style="328" customWidth="1"/>
    <col min="13066" max="13069" width="11.625" style="328" customWidth="1"/>
    <col min="13070" max="13070" width="9.625" style="328" customWidth="1"/>
    <col min="13071" max="13071" width="11.625" style="328" customWidth="1"/>
    <col min="13072" max="13312" width="9" style="328"/>
    <col min="13313" max="13313" width="4.625" style="328" customWidth="1"/>
    <col min="13314" max="13314" width="9.125" style="328" customWidth="1"/>
    <col min="13315" max="13315" width="10.625" style="328" customWidth="1"/>
    <col min="13316" max="13316" width="16.625" style="328" customWidth="1"/>
    <col min="13317" max="13317" width="22.625" style="328" customWidth="1"/>
    <col min="13318" max="13319" width="17.125" style="328" customWidth="1"/>
    <col min="13320" max="13320" width="28.125" style="328" customWidth="1"/>
    <col min="13321" max="13321" width="12.625" style="328" customWidth="1"/>
    <col min="13322" max="13325" width="11.625" style="328" customWidth="1"/>
    <col min="13326" max="13326" width="9.625" style="328" customWidth="1"/>
    <col min="13327" max="13327" width="11.625" style="328" customWidth="1"/>
    <col min="13328" max="13568" width="9" style="328"/>
    <col min="13569" max="13569" width="4.625" style="328" customWidth="1"/>
    <col min="13570" max="13570" width="9.125" style="328" customWidth="1"/>
    <col min="13571" max="13571" width="10.625" style="328" customWidth="1"/>
    <col min="13572" max="13572" width="16.625" style="328" customWidth="1"/>
    <col min="13573" max="13573" width="22.625" style="328" customWidth="1"/>
    <col min="13574" max="13575" width="17.125" style="328" customWidth="1"/>
    <col min="13576" max="13576" width="28.125" style="328" customWidth="1"/>
    <col min="13577" max="13577" width="12.625" style="328" customWidth="1"/>
    <col min="13578" max="13581" width="11.625" style="328" customWidth="1"/>
    <col min="13582" max="13582" width="9.625" style="328" customWidth="1"/>
    <col min="13583" max="13583" width="11.625" style="328" customWidth="1"/>
    <col min="13584" max="13824" width="9" style="328"/>
    <col min="13825" max="13825" width="4.625" style="328" customWidth="1"/>
    <col min="13826" max="13826" width="9.125" style="328" customWidth="1"/>
    <col min="13827" max="13827" width="10.625" style="328" customWidth="1"/>
    <col min="13828" max="13828" width="16.625" style="328" customWidth="1"/>
    <col min="13829" max="13829" width="22.625" style="328" customWidth="1"/>
    <col min="13830" max="13831" width="17.125" style="328" customWidth="1"/>
    <col min="13832" max="13832" width="28.125" style="328" customWidth="1"/>
    <col min="13833" max="13833" width="12.625" style="328" customWidth="1"/>
    <col min="13834" max="13837" width="11.625" style="328" customWidth="1"/>
    <col min="13838" max="13838" width="9.625" style="328" customWidth="1"/>
    <col min="13839" max="13839" width="11.625" style="328" customWidth="1"/>
    <col min="13840" max="14080" width="9" style="328"/>
    <col min="14081" max="14081" width="4.625" style="328" customWidth="1"/>
    <col min="14082" max="14082" width="9.125" style="328" customWidth="1"/>
    <col min="14083" max="14083" width="10.625" style="328" customWidth="1"/>
    <col min="14084" max="14084" width="16.625" style="328" customWidth="1"/>
    <col min="14085" max="14085" width="22.625" style="328" customWidth="1"/>
    <col min="14086" max="14087" width="17.125" style="328" customWidth="1"/>
    <col min="14088" max="14088" width="28.125" style="328" customWidth="1"/>
    <col min="14089" max="14089" width="12.625" style="328" customWidth="1"/>
    <col min="14090" max="14093" width="11.625" style="328" customWidth="1"/>
    <col min="14094" max="14094" width="9.625" style="328" customWidth="1"/>
    <col min="14095" max="14095" width="11.625" style="328" customWidth="1"/>
    <col min="14096" max="14336" width="9" style="328"/>
    <col min="14337" max="14337" width="4.625" style="328" customWidth="1"/>
    <col min="14338" max="14338" width="9.125" style="328" customWidth="1"/>
    <col min="14339" max="14339" width="10.625" style="328" customWidth="1"/>
    <col min="14340" max="14340" width="16.625" style="328" customWidth="1"/>
    <col min="14341" max="14341" width="22.625" style="328" customWidth="1"/>
    <col min="14342" max="14343" width="17.125" style="328" customWidth="1"/>
    <col min="14344" max="14344" width="28.125" style="328" customWidth="1"/>
    <col min="14345" max="14345" width="12.625" style="328" customWidth="1"/>
    <col min="14346" max="14349" width="11.625" style="328" customWidth="1"/>
    <col min="14350" max="14350" width="9.625" style="328" customWidth="1"/>
    <col min="14351" max="14351" width="11.625" style="328" customWidth="1"/>
    <col min="14352" max="14592" width="9" style="328"/>
    <col min="14593" max="14593" width="4.625" style="328" customWidth="1"/>
    <col min="14594" max="14594" width="9.125" style="328" customWidth="1"/>
    <col min="14595" max="14595" width="10.625" style="328" customWidth="1"/>
    <col min="14596" max="14596" width="16.625" style="328" customWidth="1"/>
    <col min="14597" max="14597" width="22.625" style="328" customWidth="1"/>
    <col min="14598" max="14599" width="17.125" style="328" customWidth="1"/>
    <col min="14600" max="14600" width="28.125" style="328" customWidth="1"/>
    <col min="14601" max="14601" width="12.625" style="328" customWidth="1"/>
    <col min="14602" max="14605" width="11.625" style="328" customWidth="1"/>
    <col min="14606" max="14606" width="9.625" style="328" customWidth="1"/>
    <col min="14607" max="14607" width="11.625" style="328" customWidth="1"/>
    <col min="14608" max="14848" width="9" style="328"/>
    <col min="14849" max="14849" width="4.625" style="328" customWidth="1"/>
    <col min="14850" max="14850" width="9.125" style="328" customWidth="1"/>
    <col min="14851" max="14851" width="10.625" style="328" customWidth="1"/>
    <col min="14852" max="14852" width="16.625" style="328" customWidth="1"/>
    <col min="14853" max="14853" width="22.625" style="328" customWidth="1"/>
    <col min="14854" max="14855" width="17.125" style="328" customWidth="1"/>
    <col min="14856" max="14856" width="28.125" style="328" customWidth="1"/>
    <col min="14857" max="14857" width="12.625" style="328" customWidth="1"/>
    <col min="14858" max="14861" width="11.625" style="328" customWidth="1"/>
    <col min="14862" max="14862" width="9.625" style="328" customWidth="1"/>
    <col min="14863" max="14863" width="11.625" style="328" customWidth="1"/>
    <col min="14864" max="15104" width="9" style="328"/>
    <col min="15105" max="15105" width="4.625" style="328" customWidth="1"/>
    <col min="15106" max="15106" width="9.125" style="328" customWidth="1"/>
    <col min="15107" max="15107" width="10.625" style="328" customWidth="1"/>
    <col min="15108" max="15108" width="16.625" style="328" customWidth="1"/>
    <col min="15109" max="15109" width="22.625" style="328" customWidth="1"/>
    <col min="15110" max="15111" width="17.125" style="328" customWidth="1"/>
    <col min="15112" max="15112" width="28.125" style="328" customWidth="1"/>
    <col min="15113" max="15113" width="12.625" style="328" customWidth="1"/>
    <col min="15114" max="15117" width="11.625" style="328" customWidth="1"/>
    <col min="15118" max="15118" width="9.625" style="328" customWidth="1"/>
    <col min="15119" max="15119" width="11.625" style="328" customWidth="1"/>
    <col min="15120" max="15360" width="9" style="328"/>
    <col min="15361" max="15361" width="4.625" style="328" customWidth="1"/>
    <col min="15362" max="15362" width="9.125" style="328" customWidth="1"/>
    <col min="15363" max="15363" width="10.625" style="328" customWidth="1"/>
    <col min="15364" max="15364" width="16.625" style="328" customWidth="1"/>
    <col min="15365" max="15365" width="22.625" style="328" customWidth="1"/>
    <col min="15366" max="15367" width="17.125" style="328" customWidth="1"/>
    <col min="15368" max="15368" width="28.125" style="328" customWidth="1"/>
    <col min="15369" max="15369" width="12.625" style="328" customWidth="1"/>
    <col min="15370" max="15373" width="11.625" style="328" customWidth="1"/>
    <col min="15374" max="15374" width="9.625" style="328" customWidth="1"/>
    <col min="15375" max="15375" width="11.625" style="328" customWidth="1"/>
    <col min="15376" max="15616" width="9" style="328"/>
    <col min="15617" max="15617" width="4.625" style="328" customWidth="1"/>
    <col min="15618" max="15618" width="9.125" style="328" customWidth="1"/>
    <col min="15619" max="15619" width="10.625" style="328" customWidth="1"/>
    <col min="15620" max="15620" width="16.625" style="328" customWidth="1"/>
    <col min="15621" max="15621" width="22.625" style="328" customWidth="1"/>
    <col min="15622" max="15623" width="17.125" style="328" customWidth="1"/>
    <col min="15624" max="15624" width="28.125" style="328" customWidth="1"/>
    <col min="15625" max="15625" width="12.625" style="328" customWidth="1"/>
    <col min="15626" max="15629" width="11.625" style="328" customWidth="1"/>
    <col min="15630" max="15630" width="9.625" style="328" customWidth="1"/>
    <col min="15631" max="15631" width="11.625" style="328" customWidth="1"/>
    <col min="15632" max="15872" width="9" style="328"/>
    <col min="15873" max="15873" width="4.625" style="328" customWidth="1"/>
    <col min="15874" max="15874" width="9.125" style="328" customWidth="1"/>
    <col min="15875" max="15875" width="10.625" style="328" customWidth="1"/>
    <col min="15876" max="15876" width="16.625" style="328" customWidth="1"/>
    <col min="15877" max="15877" width="22.625" style="328" customWidth="1"/>
    <col min="15878" max="15879" width="17.125" style="328" customWidth="1"/>
    <col min="15880" max="15880" width="28.125" style="328" customWidth="1"/>
    <col min="15881" max="15881" width="12.625" style="328" customWidth="1"/>
    <col min="15882" max="15885" width="11.625" style="328" customWidth="1"/>
    <col min="15886" max="15886" width="9.625" style="328" customWidth="1"/>
    <col min="15887" max="15887" width="11.625" style="328" customWidth="1"/>
    <col min="15888" max="16128" width="9" style="328"/>
    <col min="16129" max="16129" width="4.625" style="328" customWidth="1"/>
    <col min="16130" max="16130" width="9.125" style="328" customWidth="1"/>
    <col min="16131" max="16131" width="10.625" style="328" customWidth="1"/>
    <col min="16132" max="16132" width="16.625" style="328" customWidth="1"/>
    <col min="16133" max="16133" width="22.625" style="328" customWidth="1"/>
    <col min="16134" max="16135" width="17.125" style="328" customWidth="1"/>
    <col min="16136" max="16136" width="28.125" style="328" customWidth="1"/>
    <col min="16137" max="16137" width="12.625" style="328" customWidth="1"/>
    <col min="16138" max="16141" width="11.625" style="328" customWidth="1"/>
    <col min="16142" max="16142" width="9.625" style="328" customWidth="1"/>
    <col min="16143" max="16143" width="11.625" style="328" customWidth="1"/>
    <col min="16144" max="16384" width="9" style="328"/>
  </cols>
  <sheetData>
    <row r="1" spans="1:16" ht="21" x14ac:dyDescent="0.45">
      <c r="A1" s="512" t="s">
        <v>1913</v>
      </c>
      <c r="B1" s="512"/>
      <c r="C1" s="512"/>
      <c r="D1" s="512"/>
      <c r="E1" s="512"/>
      <c r="F1" s="512"/>
      <c r="G1" s="512"/>
      <c r="H1" s="512"/>
      <c r="I1" s="512"/>
      <c r="J1" s="512"/>
      <c r="K1" s="512"/>
      <c r="L1" s="512"/>
      <c r="M1" s="512"/>
      <c r="N1" s="512"/>
      <c r="O1" s="512"/>
    </row>
    <row r="2" spans="1:16" ht="21" x14ac:dyDescent="0.45">
      <c r="A2" s="512" t="s">
        <v>1920</v>
      </c>
      <c r="B2" s="512"/>
      <c r="C2" s="512"/>
      <c r="D2" s="512"/>
      <c r="E2" s="512"/>
      <c r="F2" s="512"/>
      <c r="G2" s="512"/>
      <c r="H2" s="512"/>
      <c r="I2" s="512"/>
      <c r="J2" s="512"/>
      <c r="K2" s="512"/>
      <c r="L2" s="512"/>
      <c r="M2" s="512"/>
      <c r="N2" s="512"/>
      <c r="O2" s="512"/>
    </row>
    <row r="3" spans="1:16" ht="21" x14ac:dyDescent="0.45">
      <c r="A3" s="512" t="s">
        <v>1914</v>
      </c>
      <c r="B3" s="512"/>
      <c r="C3" s="512"/>
      <c r="D3" s="512"/>
      <c r="E3" s="512"/>
      <c r="F3" s="512"/>
      <c r="G3" s="512"/>
      <c r="H3" s="512"/>
      <c r="I3" s="512"/>
      <c r="J3" s="512"/>
      <c r="K3" s="512"/>
      <c r="L3" s="512"/>
      <c r="M3" s="512"/>
      <c r="N3" s="512"/>
      <c r="O3" s="512"/>
    </row>
    <row r="4" spans="1:16" s="332" customFormat="1" ht="8.1" customHeight="1" thickBot="1" x14ac:dyDescent="0.45">
      <c r="A4" s="329"/>
      <c r="B4" s="330"/>
      <c r="C4" s="329"/>
      <c r="D4" s="329"/>
      <c r="E4" s="331"/>
      <c r="I4" s="333"/>
    </row>
    <row r="5" spans="1:16" s="335" customFormat="1" ht="38.1" customHeight="1" x14ac:dyDescent="0.4">
      <c r="A5" s="535" t="s">
        <v>253</v>
      </c>
      <c r="B5" s="538" t="s">
        <v>254</v>
      </c>
      <c r="C5" s="539"/>
      <c r="D5" s="539"/>
      <c r="E5" s="539"/>
      <c r="F5" s="539"/>
      <c r="G5" s="539"/>
      <c r="H5" s="539"/>
      <c r="I5" s="540"/>
      <c r="J5" s="541" t="s">
        <v>892</v>
      </c>
      <c r="K5" s="542"/>
      <c r="L5" s="542"/>
      <c r="M5" s="542"/>
      <c r="N5" s="543"/>
      <c r="O5" s="544" t="s">
        <v>256</v>
      </c>
      <c r="P5" s="334"/>
    </row>
    <row r="6" spans="1:16" s="336" customFormat="1" ht="57.95" customHeight="1" x14ac:dyDescent="0.2">
      <c r="A6" s="536"/>
      <c r="B6" s="518" t="s">
        <v>257</v>
      </c>
      <c r="C6" s="513" t="s">
        <v>2</v>
      </c>
      <c r="D6" s="513" t="s">
        <v>258</v>
      </c>
      <c r="E6" s="514" t="s">
        <v>259</v>
      </c>
      <c r="F6" s="513" t="s">
        <v>260</v>
      </c>
      <c r="G6" s="513" t="s">
        <v>261</v>
      </c>
      <c r="H6" s="513" t="s">
        <v>262</v>
      </c>
      <c r="I6" s="508" t="s">
        <v>263</v>
      </c>
      <c r="J6" s="533" t="s">
        <v>893</v>
      </c>
      <c r="K6" s="534"/>
      <c r="L6" s="547" t="s">
        <v>265</v>
      </c>
      <c r="M6" s="548"/>
      <c r="N6" s="549"/>
      <c r="O6" s="545"/>
    </row>
    <row r="7" spans="1:16" s="335" customFormat="1" ht="60" customHeight="1" x14ac:dyDescent="0.4">
      <c r="A7" s="537"/>
      <c r="B7" s="518"/>
      <c r="C7" s="513"/>
      <c r="D7" s="513"/>
      <c r="E7" s="550"/>
      <c r="F7" s="513"/>
      <c r="G7" s="513"/>
      <c r="H7" s="513"/>
      <c r="I7" s="508"/>
      <c r="J7" s="337" t="s">
        <v>266</v>
      </c>
      <c r="K7" s="337" t="s">
        <v>267</v>
      </c>
      <c r="L7" s="338" t="s">
        <v>266</v>
      </c>
      <c r="M7" s="338" t="s">
        <v>267</v>
      </c>
      <c r="N7" s="338" t="s">
        <v>1921</v>
      </c>
      <c r="O7" s="546"/>
      <c r="P7" s="334"/>
    </row>
    <row r="8" spans="1:16" s="345" customFormat="1" x14ac:dyDescent="0.4">
      <c r="A8" s="339" t="s">
        <v>739</v>
      </c>
      <c r="B8" s="340"/>
      <c r="C8" s="341"/>
      <c r="D8" s="341"/>
      <c r="E8" s="342"/>
      <c r="F8" s="341"/>
      <c r="G8" s="341"/>
      <c r="H8" s="341"/>
      <c r="I8" s="343">
        <f>SUM(I9:I15)</f>
        <v>3194375</v>
      </c>
      <c r="J8" s="343">
        <f t="shared" ref="J8:O8" si="0">SUM(J9:J15)</f>
        <v>0</v>
      </c>
      <c r="K8" s="343">
        <f t="shared" si="0"/>
        <v>0</v>
      </c>
      <c r="L8" s="343">
        <f t="shared" si="0"/>
        <v>81138.25</v>
      </c>
      <c r="M8" s="343">
        <f t="shared" si="0"/>
        <v>81138.25</v>
      </c>
      <c r="N8" s="343">
        <f t="shared" si="0"/>
        <v>0</v>
      </c>
      <c r="O8" s="343">
        <f t="shared" si="0"/>
        <v>3032098.5</v>
      </c>
      <c r="P8" s="344"/>
    </row>
    <row r="9" spans="1:16" s="354" customFormat="1" ht="20.100000000000001" customHeight="1" x14ac:dyDescent="0.4">
      <c r="A9" s="346">
        <v>1</v>
      </c>
      <c r="B9" s="347" t="s">
        <v>1657</v>
      </c>
      <c r="C9" s="348" t="s">
        <v>1666</v>
      </c>
      <c r="D9" s="346" t="s">
        <v>1854</v>
      </c>
      <c r="E9" s="349" t="s">
        <v>1667</v>
      </c>
      <c r="F9" s="350" t="s">
        <v>739</v>
      </c>
      <c r="G9" s="350" t="s">
        <v>908</v>
      </c>
      <c r="H9" s="351" t="s">
        <v>1922</v>
      </c>
      <c r="I9" s="352">
        <f>67539+767461</f>
        <v>835000</v>
      </c>
      <c r="J9" s="352">
        <v>0</v>
      </c>
      <c r="K9" s="352">
        <v>0</v>
      </c>
      <c r="L9" s="352">
        <v>33769.5</v>
      </c>
      <c r="M9" s="352">
        <v>33769.5</v>
      </c>
      <c r="N9" s="352">
        <v>0</v>
      </c>
      <c r="O9" s="352">
        <f t="shared" ref="O9:O15" si="1">+I9-(SUM(J9:N9))</f>
        <v>767461</v>
      </c>
      <c r="P9" s="353"/>
    </row>
    <row r="10" spans="1:16" s="353" customFormat="1" ht="93.75" x14ac:dyDescent="0.2">
      <c r="A10" s="346">
        <v>2</v>
      </c>
      <c r="B10" s="347" t="s">
        <v>1860</v>
      </c>
      <c r="C10" s="348" t="s">
        <v>1861</v>
      </c>
      <c r="D10" s="346" t="s">
        <v>1862</v>
      </c>
      <c r="E10" s="349" t="s">
        <v>1173</v>
      </c>
      <c r="F10" s="350" t="s">
        <v>739</v>
      </c>
      <c r="G10" s="350" t="s">
        <v>1162</v>
      </c>
      <c r="H10" s="351" t="s">
        <v>1923</v>
      </c>
      <c r="I10" s="352">
        <v>30875</v>
      </c>
      <c r="J10" s="352">
        <v>0</v>
      </c>
      <c r="K10" s="352">
        <v>0</v>
      </c>
      <c r="L10" s="352">
        <v>1918.75</v>
      </c>
      <c r="M10" s="352">
        <v>1918.75</v>
      </c>
      <c r="N10" s="352">
        <v>0</v>
      </c>
      <c r="O10" s="352">
        <f t="shared" si="1"/>
        <v>27037.5</v>
      </c>
    </row>
    <row r="11" spans="1:16" s="354" customFormat="1" ht="20.100000000000001" customHeight="1" x14ac:dyDescent="0.4">
      <c r="A11" s="346">
        <v>3</v>
      </c>
      <c r="B11" s="347" t="s">
        <v>1871</v>
      </c>
      <c r="C11" s="348" t="s">
        <v>1872</v>
      </c>
      <c r="D11" s="346" t="s">
        <v>1873</v>
      </c>
      <c r="E11" s="349" t="s">
        <v>1173</v>
      </c>
      <c r="F11" s="350" t="s">
        <v>739</v>
      </c>
      <c r="G11" s="350" t="s">
        <v>1162</v>
      </c>
      <c r="H11" s="351" t="s">
        <v>1924</v>
      </c>
      <c r="I11" s="352">
        <v>171000</v>
      </c>
      <c r="J11" s="352">
        <v>0</v>
      </c>
      <c r="K11" s="352">
        <v>0</v>
      </c>
      <c r="L11" s="352">
        <v>15000</v>
      </c>
      <c r="M11" s="352">
        <v>15000</v>
      </c>
      <c r="N11" s="352">
        <v>0</v>
      </c>
      <c r="O11" s="352">
        <f t="shared" si="1"/>
        <v>141000</v>
      </c>
      <c r="P11" s="353"/>
    </row>
    <row r="12" spans="1:16" s="353" customFormat="1" ht="112.5" x14ac:dyDescent="0.2">
      <c r="A12" s="346">
        <v>4</v>
      </c>
      <c r="B12" s="347" t="s">
        <v>1807</v>
      </c>
      <c r="C12" s="348" t="s">
        <v>1808</v>
      </c>
      <c r="D12" s="346" t="s">
        <v>1809</v>
      </c>
      <c r="E12" s="349" t="s">
        <v>1185</v>
      </c>
      <c r="F12" s="350" t="s">
        <v>1186</v>
      </c>
      <c r="G12" s="350" t="s">
        <v>1763</v>
      </c>
      <c r="H12" s="351" t="s">
        <v>1925</v>
      </c>
      <c r="I12" s="352">
        <v>1235000</v>
      </c>
      <c r="J12" s="352">
        <v>0</v>
      </c>
      <c r="K12" s="352">
        <v>0</v>
      </c>
      <c r="L12" s="352">
        <v>0</v>
      </c>
      <c r="M12" s="352">
        <v>0</v>
      </c>
      <c r="N12" s="355" t="s">
        <v>1786</v>
      </c>
      <c r="O12" s="352">
        <f t="shared" si="1"/>
        <v>1235000</v>
      </c>
    </row>
    <row r="13" spans="1:16" s="353" customFormat="1" ht="56.25" x14ac:dyDescent="0.2">
      <c r="A13" s="346">
        <v>5</v>
      </c>
      <c r="B13" s="347" t="s">
        <v>1814</v>
      </c>
      <c r="C13" s="348" t="s">
        <v>1895</v>
      </c>
      <c r="D13" s="346" t="s">
        <v>1896</v>
      </c>
      <c r="E13" s="349" t="s">
        <v>1185</v>
      </c>
      <c r="F13" s="350" t="s">
        <v>739</v>
      </c>
      <c r="G13" s="350" t="s">
        <v>1897</v>
      </c>
      <c r="H13" s="351" t="s">
        <v>1926</v>
      </c>
      <c r="I13" s="352">
        <f>60900+639100</f>
        <v>700000</v>
      </c>
      <c r="J13" s="352">
        <v>0</v>
      </c>
      <c r="K13" s="352">
        <v>0</v>
      </c>
      <c r="L13" s="352">
        <v>30450</v>
      </c>
      <c r="M13" s="352">
        <v>30450</v>
      </c>
      <c r="N13" s="352">
        <v>0</v>
      </c>
      <c r="O13" s="352">
        <f t="shared" si="1"/>
        <v>639100</v>
      </c>
    </row>
    <row r="14" spans="1:16" s="353" customFormat="1" ht="93.75" x14ac:dyDescent="0.2">
      <c r="A14" s="346">
        <v>6</v>
      </c>
      <c r="B14" s="347" t="s">
        <v>1898</v>
      </c>
      <c r="C14" s="348" t="s">
        <v>1899</v>
      </c>
      <c r="D14" s="346" t="s">
        <v>1900</v>
      </c>
      <c r="E14" s="349" t="s">
        <v>1173</v>
      </c>
      <c r="F14" s="350" t="s">
        <v>739</v>
      </c>
      <c r="G14" s="350" t="s">
        <v>1162</v>
      </c>
      <c r="H14" s="351" t="s">
        <v>1927</v>
      </c>
      <c r="I14" s="352">
        <v>32500</v>
      </c>
      <c r="J14" s="352">
        <v>0</v>
      </c>
      <c r="K14" s="352">
        <v>0</v>
      </c>
      <c r="L14" s="352">
        <v>0</v>
      </c>
      <c r="M14" s="352">
        <v>0</v>
      </c>
      <c r="N14" s="355" t="s">
        <v>1901</v>
      </c>
      <c r="O14" s="352">
        <f t="shared" si="1"/>
        <v>32500</v>
      </c>
    </row>
    <row r="15" spans="1:16" s="353" customFormat="1" ht="112.5" x14ac:dyDescent="0.2">
      <c r="A15" s="346">
        <v>7</v>
      </c>
      <c r="B15" s="347">
        <v>243161</v>
      </c>
      <c r="C15" s="348" t="s">
        <v>1109</v>
      </c>
      <c r="D15" s="346" t="s">
        <v>1912</v>
      </c>
      <c r="E15" s="349" t="s">
        <v>1173</v>
      </c>
      <c r="F15" s="350" t="s">
        <v>1186</v>
      </c>
      <c r="G15" s="350" t="s">
        <v>1162</v>
      </c>
      <c r="H15" s="351" t="s">
        <v>1928</v>
      </c>
      <c r="I15" s="352">
        <v>190000</v>
      </c>
      <c r="J15" s="352">
        <v>0</v>
      </c>
      <c r="K15" s="352">
        <v>0</v>
      </c>
      <c r="L15" s="352"/>
      <c r="M15" s="352"/>
      <c r="N15" s="355" t="s">
        <v>1911</v>
      </c>
      <c r="O15" s="352">
        <f t="shared" si="1"/>
        <v>190000</v>
      </c>
    </row>
    <row r="16" spans="1:16" s="353" customFormat="1" x14ac:dyDescent="0.2">
      <c r="A16" s="356" t="s">
        <v>360</v>
      </c>
      <c r="B16" s="357"/>
      <c r="C16" s="358"/>
      <c r="D16" s="359"/>
      <c r="E16" s="356"/>
      <c r="F16" s="360"/>
      <c r="G16" s="360"/>
      <c r="H16" s="361"/>
      <c r="I16" s="362">
        <f>SUM(I17:I26)</f>
        <v>777219.22</v>
      </c>
      <c r="J16" s="362">
        <f t="shared" ref="J16:O16" si="2">SUM(J17:J26)</f>
        <v>40000</v>
      </c>
      <c r="K16" s="362">
        <f t="shared" si="2"/>
        <v>40000</v>
      </c>
      <c r="L16" s="362">
        <f t="shared" si="2"/>
        <v>2924.01</v>
      </c>
      <c r="M16" s="362">
        <f t="shared" si="2"/>
        <v>2924.01</v>
      </c>
      <c r="N16" s="362">
        <f t="shared" si="2"/>
        <v>0</v>
      </c>
      <c r="O16" s="362">
        <f t="shared" si="2"/>
        <v>691371.2</v>
      </c>
    </row>
    <row r="17" spans="1:15" s="353" customFormat="1" ht="150" x14ac:dyDescent="0.2">
      <c r="A17" s="346">
        <v>1</v>
      </c>
      <c r="B17" s="347" t="s">
        <v>1657</v>
      </c>
      <c r="C17" s="348" t="s">
        <v>1662</v>
      </c>
      <c r="D17" s="346" t="s">
        <v>1663</v>
      </c>
      <c r="E17" s="349" t="s">
        <v>1664</v>
      </c>
      <c r="F17" s="350" t="s">
        <v>360</v>
      </c>
      <c r="G17" s="350" t="s">
        <v>1665</v>
      </c>
      <c r="H17" s="351" t="s">
        <v>1929</v>
      </c>
      <c r="I17" s="352">
        <v>237500</v>
      </c>
      <c r="J17" s="352">
        <v>19000</v>
      </c>
      <c r="K17" s="352">
        <v>19000</v>
      </c>
      <c r="L17" s="352">
        <v>0</v>
      </c>
      <c r="M17" s="352">
        <v>0</v>
      </c>
      <c r="N17" s="352">
        <v>0</v>
      </c>
      <c r="O17" s="352">
        <f t="shared" ref="O17:O26" si="3">+I17-(SUM(J17:N17))</f>
        <v>199500</v>
      </c>
    </row>
    <row r="18" spans="1:15" s="353" customFormat="1" ht="150" x14ac:dyDescent="0.2">
      <c r="A18" s="346">
        <v>2</v>
      </c>
      <c r="B18" s="347" t="s">
        <v>1671</v>
      </c>
      <c r="C18" s="348" t="s">
        <v>1672</v>
      </c>
      <c r="D18" s="346" t="s">
        <v>1673</v>
      </c>
      <c r="E18" s="349" t="s">
        <v>1115</v>
      </c>
      <c r="F18" s="350" t="s">
        <v>360</v>
      </c>
      <c r="G18" s="350" t="s">
        <v>1116</v>
      </c>
      <c r="H18" s="351" t="s">
        <v>1930</v>
      </c>
      <c r="I18" s="352">
        <v>162319.29999999999</v>
      </c>
      <c r="J18" s="352">
        <v>0</v>
      </c>
      <c r="K18" s="352">
        <v>0</v>
      </c>
      <c r="L18" s="352">
        <v>2924.01</v>
      </c>
      <c r="M18" s="352">
        <v>2924.01</v>
      </c>
      <c r="N18" s="352">
        <v>0</v>
      </c>
      <c r="O18" s="352">
        <f t="shared" si="3"/>
        <v>156471.28</v>
      </c>
    </row>
    <row r="19" spans="1:15" s="353" customFormat="1" ht="150" x14ac:dyDescent="0.2">
      <c r="A19" s="346">
        <v>3</v>
      </c>
      <c r="B19" s="347" t="s">
        <v>1674</v>
      </c>
      <c r="C19" s="348" t="s">
        <v>1678</v>
      </c>
      <c r="D19" s="346" t="s">
        <v>1679</v>
      </c>
      <c r="E19" s="349" t="s">
        <v>1664</v>
      </c>
      <c r="F19" s="350" t="s">
        <v>360</v>
      </c>
      <c r="G19" s="350" t="s">
        <v>1665</v>
      </c>
      <c r="H19" s="351" t="s">
        <v>1931</v>
      </c>
      <c r="I19" s="352">
        <v>12500</v>
      </c>
      <c r="J19" s="352">
        <v>1000</v>
      </c>
      <c r="K19" s="352">
        <v>1000</v>
      </c>
      <c r="L19" s="352">
        <v>0</v>
      </c>
      <c r="M19" s="352">
        <v>0</v>
      </c>
      <c r="N19" s="352">
        <v>0</v>
      </c>
      <c r="O19" s="352">
        <f t="shared" si="3"/>
        <v>10500</v>
      </c>
    </row>
    <row r="20" spans="1:15" s="353" customFormat="1" ht="150" x14ac:dyDescent="0.2">
      <c r="A20" s="346">
        <v>4</v>
      </c>
      <c r="B20" s="347" t="s">
        <v>1680</v>
      </c>
      <c r="C20" s="348" t="s">
        <v>1681</v>
      </c>
      <c r="D20" s="346" t="s">
        <v>1682</v>
      </c>
      <c r="E20" s="349" t="s">
        <v>1115</v>
      </c>
      <c r="F20" s="350" t="s">
        <v>360</v>
      </c>
      <c r="G20" s="350" t="s">
        <v>1116</v>
      </c>
      <c r="H20" s="351" t="s">
        <v>1932</v>
      </c>
      <c r="I20" s="352">
        <v>64927.72</v>
      </c>
      <c r="J20" s="352">
        <v>0</v>
      </c>
      <c r="K20" s="352">
        <v>0</v>
      </c>
      <c r="L20" s="352">
        <v>0</v>
      </c>
      <c r="M20" s="352">
        <v>0</v>
      </c>
      <c r="N20" s="355" t="s">
        <v>1683</v>
      </c>
      <c r="O20" s="352">
        <f t="shared" si="3"/>
        <v>64927.72</v>
      </c>
    </row>
    <row r="21" spans="1:15" s="353" customFormat="1" ht="150" x14ac:dyDescent="0.2">
      <c r="A21" s="346">
        <v>5</v>
      </c>
      <c r="B21" s="347" t="s">
        <v>1680</v>
      </c>
      <c r="C21" s="348" t="s">
        <v>1684</v>
      </c>
      <c r="D21" s="346" t="s">
        <v>1682</v>
      </c>
      <c r="E21" s="349" t="s">
        <v>1115</v>
      </c>
      <c r="F21" s="350" t="s">
        <v>360</v>
      </c>
      <c r="G21" s="350" t="s">
        <v>1116</v>
      </c>
      <c r="H21" s="351" t="s">
        <v>1933</v>
      </c>
      <c r="I21" s="352">
        <v>12486.1</v>
      </c>
      <c r="J21" s="352">
        <v>0</v>
      </c>
      <c r="K21" s="352">
        <v>0</v>
      </c>
      <c r="L21" s="352">
        <v>0</v>
      </c>
      <c r="M21" s="352">
        <v>0</v>
      </c>
      <c r="N21" s="355" t="s">
        <v>1683</v>
      </c>
      <c r="O21" s="352">
        <f t="shared" si="3"/>
        <v>12486.1</v>
      </c>
    </row>
    <row r="22" spans="1:15" s="353" customFormat="1" ht="150" x14ac:dyDescent="0.2">
      <c r="A22" s="346">
        <v>6</v>
      </c>
      <c r="B22" s="347" t="s">
        <v>1680</v>
      </c>
      <c r="C22" s="348" t="s">
        <v>1685</v>
      </c>
      <c r="D22" s="346" t="s">
        <v>1682</v>
      </c>
      <c r="E22" s="349" t="s">
        <v>1115</v>
      </c>
      <c r="F22" s="350" t="s">
        <v>360</v>
      </c>
      <c r="G22" s="350" t="s">
        <v>1116</v>
      </c>
      <c r="H22" s="351" t="s">
        <v>1934</v>
      </c>
      <c r="I22" s="352">
        <v>4994.4399999999996</v>
      </c>
      <c r="J22" s="352">
        <v>0</v>
      </c>
      <c r="K22" s="352">
        <v>0</v>
      </c>
      <c r="L22" s="352">
        <v>0</v>
      </c>
      <c r="M22" s="352">
        <v>0</v>
      </c>
      <c r="N22" s="355" t="s">
        <v>1683</v>
      </c>
      <c r="O22" s="352">
        <f t="shared" si="3"/>
        <v>4994.4399999999996</v>
      </c>
    </row>
    <row r="23" spans="1:15" s="353" customFormat="1" ht="150" x14ac:dyDescent="0.2">
      <c r="A23" s="346">
        <v>7</v>
      </c>
      <c r="B23" s="347" t="s">
        <v>1749</v>
      </c>
      <c r="C23" s="348" t="s">
        <v>1753</v>
      </c>
      <c r="D23" s="346" t="s">
        <v>1754</v>
      </c>
      <c r="E23" s="349" t="s">
        <v>1115</v>
      </c>
      <c r="F23" s="350" t="s">
        <v>360</v>
      </c>
      <c r="G23" s="350" t="s">
        <v>1116</v>
      </c>
      <c r="H23" s="351" t="s">
        <v>1935</v>
      </c>
      <c r="I23" s="352">
        <v>7491.66</v>
      </c>
      <c r="J23" s="352">
        <v>0</v>
      </c>
      <c r="K23" s="352">
        <v>0</v>
      </c>
      <c r="L23" s="352">
        <v>0</v>
      </c>
      <c r="M23" s="352">
        <v>0</v>
      </c>
      <c r="N23" s="355" t="s">
        <v>1683</v>
      </c>
      <c r="O23" s="352">
        <f t="shared" si="3"/>
        <v>7491.66</v>
      </c>
    </row>
    <row r="24" spans="1:15" s="353" customFormat="1" ht="150" x14ac:dyDescent="0.2">
      <c r="A24" s="346">
        <v>8</v>
      </c>
      <c r="B24" s="347" t="s">
        <v>1778</v>
      </c>
      <c r="C24" s="348" t="s">
        <v>1779</v>
      </c>
      <c r="D24" s="346" t="s">
        <v>1780</v>
      </c>
      <c r="E24" s="349" t="s">
        <v>1664</v>
      </c>
      <c r="F24" s="350" t="s">
        <v>360</v>
      </c>
      <c r="G24" s="350" t="s">
        <v>1781</v>
      </c>
      <c r="H24" s="351" t="s">
        <v>1936</v>
      </c>
      <c r="I24" s="352">
        <v>150000</v>
      </c>
      <c r="J24" s="352">
        <v>12000</v>
      </c>
      <c r="K24" s="352">
        <v>12000</v>
      </c>
      <c r="L24" s="352">
        <v>0</v>
      </c>
      <c r="M24" s="352">
        <v>0</v>
      </c>
      <c r="N24" s="352">
        <v>0</v>
      </c>
      <c r="O24" s="352">
        <f t="shared" si="3"/>
        <v>126000</v>
      </c>
    </row>
    <row r="25" spans="1:15" s="353" customFormat="1" ht="150" x14ac:dyDescent="0.2">
      <c r="A25" s="346">
        <v>9</v>
      </c>
      <c r="B25" s="347" t="s">
        <v>1820</v>
      </c>
      <c r="C25" s="348" t="s">
        <v>1821</v>
      </c>
      <c r="D25" s="346" t="s">
        <v>1822</v>
      </c>
      <c r="E25" s="349" t="s">
        <v>1664</v>
      </c>
      <c r="F25" s="350" t="s">
        <v>360</v>
      </c>
      <c r="G25" s="350" t="s">
        <v>1781</v>
      </c>
      <c r="H25" s="351" t="s">
        <v>1937</v>
      </c>
      <c r="I25" s="352">
        <v>100000</v>
      </c>
      <c r="J25" s="352">
        <v>8000</v>
      </c>
      <c r="K25" s="352">
        <v>8000</v>
      </c>
      <c r="L25" s="352">
        <v>0</v>
      </c>
      <c r="M25" s="352">
        <v>0</v>
      </c>
      <c r="N25" s="352">
        <v>0</v>
      </c>
      <c r="O25" s="352">
        <f t="shared" si="3"/>
        <v>84000</v>
      </c>
    </row>
    <row r="26" spans="1:15" s="353" customFormat="1" ht="150" x14ac:dyDescent="0.2">
      <c r="A26" s="346">
        <v>10</v>
      </c>
      <c r="B26" s="347">
        <v>243161</v>
      </c>
      <c r="C26" s="348" t="s">
        <v>1109</v>
      </c>
      <c r="D26" s="346" t="s">
        <v>1852</v>
      </c>
      <c r="E26" s="349" t="s">
        <v>1664</v>
      </c>
      <c r="F26" s="350" t="s">
        <v>360</v>
      </c>
      <c r="G26" s="350" t="s">
        <v>1781</v>
      </c>
      <c r="H26" s="351" t="s">
        <v>1938</v>
      </c>
      <c r="I26" s="352">
        <v>25000</v>
      </c>
      <c r="J26" s="352">
        <v>0</v>
      </c>
      <c r="K26" s="352">
        <v>0</v>
      </c>
      <c r="L26" s="352">
        <v>0</v>
      </c>
      <c r="M26" s="352">
        <v>0</v>
      </c>
      <c r="N26" s="355" t="s">
        <v>1853</v>
      </c>
      <c r="O26" s="352">
        <f t="shared" si="3"/>
        <v>25000</v>
      </c>
    </row>
    <row r="27" spans="1:15" s="353" customFormat="1" x14ac:dyDescent="0.2">
      <c r="A27" s="356" t="s">
        <v>1693</v>
      </c>
      <c r="B27" s="357"/>
      <c r="C27" s="358"/>
      <c r="D27" s="359"/>
      <c r="E27" s="356"/>
      <c r="F27" s="360"/>
      <c r="G27" s="360"/>
      <c r="H27" s="361"/>
      <c r="I27" s="362">
        <f t="shared" ref="I27:O27" si="4">SUM(I28:I51)</f>
        <v>8462923.2699999996</v>
      </c>
      <c r="J27" s="362">
        <f t="shared" si="4"/>
        <v>241939.98999999996</v>
      </c>
      <c r="K27" s="362">
        <f t="shared" si="4"/>
        <v>241939.98999999996</v>
      </c>
      <c r="L27" s="362">
        <f t="shared" si="4"/>
        <v>289791</v>
      </c>
      <c r="M27" s="362">
        <f t="shared" si="4"/>
        <v>289791</v>
      </c>
      <c r="N27" s="362">
        <f t="shared" si="4"/>
        <v>0</v>
      </c>
      <c r="O27" s="362">
        <f t="shared" si="4"/>
        <v>7399461.29</v>
      </c>
    </row>
    <row r="28" spans="1:15" s="353" customFormat="1" ht="131.25" x14ac:dyDescent="0.2">
      <c r="A28" s="346">
        <v>1</v>
      </c>
      <c r="B28" s="347" t="s">
        <v>905</v>
      </c>
      <c r="C28" s="348" t="s">
        <v>906</v>
      </c>
      <c r="D28" s="346" t="s">
        <v>907</v>
      </c>
      <c r="E28" s="349" t="s">
        <v>647</v>
      </c>
      <c r="F28" s="350" t="s">
        <v>161</v>
      </c>
      <c r="G28" s="350" t="s">
        <v>908</v>
      </c>
      <c r="H28" s="351" t="s">
        <v>1939</v>
      </c>
      <c r="I28" s="352">
        <f>60000+540000</f>
        <v>600000</v>
      </c>
      <c r="J28" s="352">
        <v>30000</v>
      </c>
      <c r="K28" s="352">
        <v>30000</v>
      </c>
      <c r="L28" s="352">
        <v>0</v>
      </c>
      <c r="M28" s="352">
        <v>0</v>
      </c>
      <c r="N28" s="352">
        <v>0</v>
      </c>
      <c r="O28" s="352">
        <f t="shared" ref="O28:O51" si="5">+I28-(SUM(J28:N28))</f>
        <v>540000</v>
      </c>
    </row>
    <row r="29" spans="1:15" s="353" customFormat="1" ht="112.5" x14ac:dyDescent="0.2">
      <c r="A29" s="346">
        <v>2</v>
      </c>
      <c r="B29" s="347" t="s">
        <v>905</v>
      </c>
      <c r="C29" s="348" t="s">
        <v>909</v>
      </c>
      <c r="D29" s="346" t="s">
        <v>910</v>
      </c>
      <c r="E29" s="349" t="s">
        <v>911</v>
      </c>
      <c r="F29" s="350" t="s">
        <v>161</v>
      </c>
      <c r="G29" s="350" t="s">
        <v>908</v>
      </c>
      <c r="H29" s="351" t="s">
        <v>1940</v>
      </c>
      <c r="I29" s="352">
        <f>34190+307710</f>
        <v>341900</v>
      </c>
      <c r="J29" s="352">
        <v>17095</v>
      </c>
      <c r="K29" s="352">
        <v>17095</v>
      </c>
      <c r="L29" s="352">
        <v>0</v>
      </c>
      <c r="M29" s="352">
        <v>0</v>
      </c>
      <c r="N29" s="352">
        <v>0</v>
      </c>
      <c r="O29" s="352">
        <f t="shared" si="5"/>
        <v>307710</v>
      </c>
    </row>
    <row r="30" spans="1:15" s="353" customFormat="1" ht="93.75" x14ac:dyDescent="0.2">
      <c r="A30" s="346">
        <v>3</v>
      </c>
      <c r="B30" s="347" t="s">
        <v>905</v>
      </c>
      <c r="C30" s="348" t="s">
        <v>912</v>
      </c>
      <c r="D30" s="346" t="s">
        <v>913</v>
      </c>
      <c r="E30" s="349" t="s">
        <v>914</v>
      </c>
      <c r="F30" s="350" t="s">
        <v>161</v>
      </c>
      <c r="G30" s="350" t="s">
        <v>915</v>
      </c>
      <c r="H30" s="351" t="s">
        <v>1941</v>
      </c>
      <c r="I30" s="352">
        <v>10000</v>
      </c>
      <c r="J30" s="352">
        <v>800</v>
      </c>
      <c r="K30" s="352">
        <v>800</v>
      </c>
      <c r="L30" s="352">
        <v>0</v>
      </c>
      <c r="M30" s="352">
        <v>0</v>
      </c>
      <c r="N30" s="352">
        <v>0</v>
      </c>
      <c r="O30" s="352">
        <f t="shared" si="5"/>
        <v>8400</v>
      </c>
    </row>
    <row r="31" spans="1:15" s="353" customFormat="1" ht="131.25" x14ac:dyDescent="0.2">
      <c r="A31" s="346">
        <v>4</v>
      </c>
      <c r="B31" s="347" t="s">
        <v>1623</v>
      </c>
      <c r="C31" s="348" t="s">
        <v>1624</v>
      </c>
      <c r="D31" s="346" t="s">
        <v>1625</v>
      </c>
      <c r="E31" s="349" t="s">
        <v>969</v>
      </c>
      <c r="F31" s="350" t="s">
        <v>161</v>
      </c>
      <c r="G31" s="350" t="s">
        <v>1626</v>
      </c>
      <c r="H31" s="351" t="s">
        <v>1942</v>
      </c>
      <c r="I31" s="352">
        <v>39546</v>
      </c>
      <c r="J31" s="352">
        <v>1977.3</v>
      </c>
      <c r="K31" s="352">
        <v>1977.3</v>
      </c>
      <c r="L31" s="352">
        <v>0</v>
      </c>
      <c r="M31" s="352">
        <v>0</v>
      </c>
      <c r="N31" s="352">
        <v>0</v>
      </c>
      <c r="O31" s="352">
        <f t="shared" si="5"/>
        <v>35591.4</v>
      </c>
    </row>
    <row r="32" spans="1:15" s="353" customFormat="1" ht="93.75" x14ac:dyDescent="0.2">
      <c r="A32" s="346">
        <v>5</v>
      </c>
      <c r="B32" s="347" t="s">
        <v>1649</v>
      </c>
      <c r="C32" s="348" t="s">
        <v>1650</v>
      </c>
      <c r="D32" s="346" t="s">
        <v>1651</v>
      </c>
      <c r="E32" s="349" t="s">
        <v>914</v>
      </c>
      <c r="F32" s="350" t="s">
        <v>161</v>
      </c>
      <c r="G32" s="350" t="s">
        <v>915</v>
      </c>
      <c r="H32" s="351" t="s">
        <v>1943</v>
      </c>
      <c r="I32" s="352">
        <v>10000</v>
      </c>
      <c r="J32" s="352">
        <v>800</v>
      </c>
      <c r="K32" s="352">
        <v>800</v>
      </c>
      <c r="L32" s="352">
        <v>0</v>
      </c>
      <c r="M32" s="352">
        <v>0</v>
      </c>
      <c r="N32" s="352">
        <v>0</v>
      </c>
      <c r="O32" s="352">
        <f t="shared" si="5"/>
        <v>8400</v>
      </c>
    </row>
    <row r="33" spans="1:15" s="353" customFormat="1" ht="93.75" x14ac:dyDescent="0.2">
      <c r="A33" s="346">
        <v>6</v>
      </c>
      <c r="B33" s="347" t="s">
        <v>1657</v>
      </c>
      <c r="C33" s="348" t="s">
        <v>1658</v>
      </c>
      <c r="D33" s="346" t="s">
        <v>1659</v>
      </c>
      <c r="E33" s="349" t="s">
        <v>1660</v>
      </c>
      <c r="F33" s="350" t="s">
        <v>161</v>
      </c>
      <c r="G33" s="350" t="s">
        <v>1103</v>
      </c>
      <c r="H33" s="351" t="s">
        <v>1661</v>
      </c>
      <c r="I33" s="352">
        <v>41000</v>
      </c>
      <c r="J33" s="352">
        <v>0</v>
      </c>
      <c r="K33" s="352">
        <v>0</v>
      </c>
      <c r="L33" s="352">
        <v>20500</v>
      </c>
      <c r="M33" s="352">
        <v>20500</v>
      </c>
      <c r="N33" s="352">
        <v>0</v>
      </c>
      <c r="O33" s="352">
        <f t="shared" si="5"/>
        <v>0</v>
      </c>
    </row>
    <row r="34" spans="1:15" s="353" customFormat="1" ht="112.5" x14ac:dyDescent="0.2">
      <c r="A34" s="346">
        <v>7</v>
      </c>
      <c r="B34" s="347" t="s">
        <v>1657</v>
      </c>
      <c r="C34" s="348" t="s">
        <v>1668</v>
      </c>
      <c r="D34" s="346" t="s">
        <v>1669</v>
      </c>
      <c r="E34" s="349" t="s">
        <v>1018</v>
      </c>
      <c r="F34" s="350" t="s">
        <v>161</v>
      </c>
      <c r="G34" s="350" t="s">
        <v>1670</v>
      </c>
      <c r="H34" s="351" t="s">
        <v>1944</v>
      </c>
      <c r="I34" s="352">
        <v>80000</v>
      </c>
      <c r="J34" s="352">
        <v>4000</v>
      </c>
      <c r="K34" s="352">
        <v>4000</v>
      </c>
      <c r="L34" s="352">
        <v>0</v>
      </c>
      <c r="M34" s="352">
        <v>0</v>
      </c>
      <c r="N34" s="352">
        <v>0</v>
      </c>
      <c r="O34" s="352">
        <f t="shared" si="5"/>
        <v>72000</v>
      </c>
    </row>
    <row r="35" spans="1:15" s="353" customFormat="1" ht="131.25" x14ac:dyDescent="0.2">
      <c r="A35" s="346">
        <v>8</v>
      </c>
      <c r="B35" s="347" t="s">
        <v>1680</v>
      </c>
      <c r="C35" s="348" t="s">
        <v>1686</v>
      </c>
      <c r="D35" s="346" t="s">
        <v>1687</v>
      </c>
      <c r="E35" s="349" t="s">
        <v>1688</v>
      </c>
      <c r="F35" s="350" t="s">
        <v>161</v>
      </c>
      <c r="G35" s="350" t="s">
        <v>1689</v>
      </c>
      <c r="H35" s="351" t="s">
        <v>1945</v>
      </c>
      <c r="I35" s="352">
        <v>216000</v>
      </c>
      <c r="J35" s="352">
        <v>0</v>
      </c>
      <c r="K35" s="352">
        <v>0</v>
      </c>
      <c r="L35" s="352">
        <v>0</v>
      </c>
      <c r="M35" s="352">
        <v>0</v>
      </c>
      <c r="N35" s="355" t="s">
        <v>1748</v>
      </c>
      <c r="O35" s="352">
        <f t="shared" si="5"/>
        <v>216000</v>
      </c>
    </row>
    <row r="36" spans="1:15" s="353" customFormat="1" ht="112.5" x14ac:dyDescent="0.2">
      <c r="A36" s="346">
        <v>9</v>
      </c>
      <c r="B36" s="347" t="s">
        <v>1690</v>
      </c>
      <c r="C36" s="348" t="s">
        <v>1691</v>
      </c>
      <c r="D36" s="346" t="s">
        <v>1692</v>
      </c>
      <c r="E36" s="349" t="s">
        <v>914</v>
      </c>
      <c r="F36" s="350" t="s">
        <v>1693</v>
      </c>
      <c r="G36" s="350" t="s">
        <v>1689</v>
      </c>
      <c r="H36" s="351" t="s">
        <v>1946</v>
      </c>
      <c r="I36" s="352">
        <v>1000000</v>
      </c>
      <c r="J36" s="352">
        <v>80000</v>
      </c>
      <c r="K36" s="352">
        <v>80000</v>
      </c>
      <c r="L36" s="352">
        <v>0</v>
      </c>
      <c r="M36" s="352">
        <v>0</v>
      </c>
      <c r="N36" s="352">
        <v>0</v>
      </c>
      <c r="O36" s="352">
        <f>+I36-(SUM(J36:N36))</f>
        <v>840000</v>
      </c>
    </row>
    <row r="37" spans="1:15" s="353" customFormat="1" ht="131.25" x14ac:dyDescent="0.2">
      <c r="A37" s="346">
        <v>10</v>
      </c>
      <c r="B37" s="347" t="s">
        <v>1755</v>
      </c>
      <c r="C37" s="348" t="s">
        <v>1756</v>
      </c>
      <c r="D37" s="346" t="s">
        <v>1757</v>
      </c>
      <c r="E37" s="349" t="s">
        <v>914</v>
      </c>
      <c r="F37" s="350" t="s">
        <v>1693</v>
      </c>
      <c r="G37" s="350" t="s">
        <v>1758</v>
      </c>
      <c r="H37" s="351" t="s">
        <v>1947</v>
      </c>
      <c r="I37" s="352">
        <v>794865</v>
      </c>
      <c r="J37" s="352">
        <v>0</v>
      </c>
      <c r="K37" s="352">
        <v>0</v>
      </c>
      <c r="L37" s="352">
        <v>59614.879999999997</v>
      </c>
      <c r="M37" s="352">
        <v>59614.87</v>
      </c>
      <c r="N37" s="352">
        <v>0</v>
      </c>
      <c r="O37" s="352">
        <f>+I37-(SUM(J37:N37))</f>
        <v>675635.25</v>
      </c>
    </row>
    <row r="38" spans="1:15" s="353" customFormat="1" ht="112.5" x14ac:dyDescent="0.2">
      <c r="A38" s="346">
        <v>11</v>
      </c>
      <c r="B38" s="347" t="s">
        <v>1769</v>
      </c>
      <c r="C38" s="348" t="s">
        <v>1770</v>
      </c>
      <c r="D38" s="346" t="s">
        <v>1771</v>
      </c>
      <c r="E38" s="349" t="s">
        <v>957</v>
      </c>
      <c r="F38" s="350" t="s">
        <v>1693</v>
      </c>
      <c r="G38" s="350" t="s">
        <v>1198</v>
      </c>
      <c r="H38" s="351" t="s">
        <v>1948</v>
      </c>
      <c r="I38" s="352">
        <v>139696</v>
      </c>
      <c r="J38" s="352">
        <v>6984.8</v>
      </c>
      <c r="K38" s="352">
        <v>6984.8</v>
      </c>
      <c r="L38" s="352">
        <v>0</v>
      </c>
      <c r="M38" s="352">
        <v>0</v>
      </c>
      <c r="N38" s="352">
        <v>0</v>
      </c>
      <c r="O38" s="352">
        <f>+I38-(SUM(J38:N38))</f>
        <v>125726.39999999999</v>
      </c>
    </row>
    <row r="39" spans="1:15" s="353" customFormat="1" ht="187.5" x14ac:dyDescent="0.2">
      <c r="A39" s="346">
        <v>12</v>
      </c>
      <c r="B39" s="347" t="s">
        <v>1782</v>
      </c>
      <c r="C39" s="348" t="s">
        <v>1787</v>
      </c>
      <c r="D39" s="346" t="s">
        <v>1788</v>
      </c>
      <c r="E39" s="349" t="s">
        <v>1789</v>
      </c>
      <c r="F39" s="350" t="s">
        <v>161</v>
      </c>
      <c r="G39" s="350" t="s">
        <v>930</v>
      </c>
      <c r="H39" s="351" t="s">
        <v>1949</v>
      </c>
      <c r="I39" s="352">
        <v>94526.5</v>
      </c>
      <c r="J39" s="352">
        <v>0</v>
      </c>
      <c r="K39" s="352">
        <v>0</v>
      </c>
      <c r="L39" s="352">
        <v>0</v>
      </c>
      <c r="M39" s="352">
        <v>0</v>
      </c>
      <c r="N39" s="355" t="s">
        <v>1786</v>
      </c>
      <c r="O39" s="352">
        <f t="shared" si="5"/>
        <v>94526.5</v>
      </c>
    </row>
    <row r="40" spans="1:15" s="353" customFormat="1" ht="168.75" x14ac:dyDescent="0.2">
      <c r="A40" s="346">
        <v>13</v>
      </c>
      <c r="B40" s="347" t="s">
        <v>1782</v>
      </c>
      <c r="C40" s="348" t="s">
        <v>1787</v>
      </c>
      <c r="D40" s="346" t="s">
        <v>1788</v>
      </c>
      <c r="E40" s="349" t="s">
        <v>1790</v>
      </c>
      <c r="F40" s="350" t="s">
        <v>161</v>
      </c>
      <c r="G40" s="350" t="s">
        <v>930</v>
      </c>
      <c r="H40" s="351" t="s">
        <v>1950</v>
      </c>
      <c r="I40" s="352">
        <v>416753</v>
      </c>
      <c r="J40" s="352">
        <v>0</v>
      </c>
      <c r="K40" s="352">
        <v>0</v>
      </c>
      <c r="L40" s="352">
        <v>0</v>
      </c>
      <c r="M40" s="352">
        <v>0</v>
      </c>
      <c r="N40" s="355" t="s">
        <v>1786</v>
      </c>
      <c r="O40" s="352">
        <f t="shared" si="5"/>
        <v>416753</v>
      </c>
    </row>
    <row r="41" spans="1:15" s="353" customFormat="1" ht="131.25" x14ac:dyDescent="0.2">
      <c r="A41" s="346">
        <v>14</v>
      </c>
      <c r="B41" s="347" t="s">
        <v>1804</v>
      </c>
      <c r="C41" s="348" t="s">
        <v>1805</v>
      </c>
      <c r="D41" s="346" t="s">
        <v>1806</v>
      </c>
      <c r="E41" s="349" t="s">
        <v>914</v>
      </c>
      <c r="F41" s="350" t="s">
        <v>1693</v>
      </c>
      <c r="G41" s="350" t="s">
        <v>1752</v>
      </c>
      <c r="H41" s="351" t="s">
        <v>1951</v>
      </c>
      <c r="I41" s="352">
        <v>610000</v>
      </c>
      <c r="J41" s="352">
        <v>48800</v>
      </c>
      <c r="K41" s="352">
        <v>48800</v>
      </c>
      <c r="L41" s="352">
        <v>0</v>
      </c>
      <c r="M41" s="352">
        <v>0</v>
      </c>
      <c r="N41" s="352">
        <v>0</v>
      </c>
      <c r="O41" s="352">
        <f>+I41-(SUM(J41:N41))</f>
        <v>512400</v>
      </c>
    </row>
    <row r="42" spans="1:15" s="353" customFormat="1" ht="131.25" x14ac:dyDescent="0.2">
      <c r="A42" s="346">
        <v>15</v>
      </c>
      <c r="B42" s="347" t="s">
        <v>1807</v>
      </c>
      <c r="C42" s="348" t="s">
        <v>1808</v>
      </c>
      <c r="D42" s="346" t="s">
        <v>1809</v>
      </c>
      <c r="E42" s="349" t="s">
        <v>1810</v>
      </c>
      <c r="F42" s="350" t="s">
        <v>161</v>
      </c>
      <c r="G42" s="350" t="s">
        <v>1763</v>
      </c>
      <c r="H42" s="351" t="s">
        <v>1952</v>
      </c>
      <c r="I42" s="352">
        <v>1122274</v>
      </c>
      <c r="J42" s="352">
        <v>0</v>
      </c>
      <c r="K42" s="352">
        <v>0</v>
      </c>
      <c r="L42" s="352">
        <v>0</v>
      </c>
      <c r="M42" s="352">
        <v>0</v>
      </c>
      <c r="N42" s="355" t="s">
        <v>1786</v>
      </c>
      <c r="O42" s="352">
        <f t="shared" si="5"/>
        <v>1122274</v>
      </c>
    </row>
    <row r="43" spans="1:15" s="353" customFormat="1" ht="112.5" x14ac:dyDescent="0.2">
      <c r="A43" s="346">
        <v>16</v>
      </c>
      <c r="B43" s="347" t="s">
        <v>1826</v>
      </c>
      <c r="C43" s="348" t="s">
        <v>1827</v>
      </c>
      <c r="D43" s="346" t="s">
        <v>1828</v>
      </c>
      <c r="E43" s="349" t="s">
        <v>1018</v>
      </c>
      <c r="F43" s="350" t="s">
        <v>161</v>
      </c>
      <c r="G43" s="350" t="s">
        <v>1670</v>
      </c>
      <c r="H43" s="351" t="s">
        <v>1953</v>
      </c>
      <c r="I43" s="352">
        <v>90000</v>
      </c>
      <c r="J43" s="352">
        <v>0</v>
      </c>
      <c r="K43" s="352">
        <v>0</v>
      </c>
      <c r="L43" s="352">
        <v>3156</v>
      </c>
      <c r="M43" s="352">
        <v>3156</v>
      </c>
      <c r="N43" s="352">
        <v>0</v>
      </c>
      <c r="O43" s="352">
        <f t="shared" si="5"/>
        <v>83688</v>
      </c>
    </row>
    <row r="44" spans="1:15" s="353" customFormat="1" ht="75" x14ac:dyDescent="0.2">
      <c r="A44" s="346">
        <v>17</v>
      </c>
      <c r="B44" s="347" t="s">
        <v>1829</v>
      </c>
      <c r="C44" s="348" t="s">
        <v>1830</v>
      </c>
      <c r="D44" s="346" t="s">
        <v>1831</v>
      </c>
      <c r="E44" s="349" t="s">
        <v>1832</v>
      </c>
      <c r="F44" s="350" t="s">
        <v>161</v>
      </c>
      <c r="G44" s="350" t="s">
        <v>1103</v>
      </c>
      <c r="H44" s="351" t="s">
        <v>1833</v>
      </c>
      <c r="I44" s="352">
        <v>113920</v>
      </c>
      <c r="J44" s="352">
        <v>0</v>
      </c>
      <c r="K44" s="352">
        <v>0</v>
      </c>
      <c r="L44" s="352">
        <v>56960</v>
      </c>
      <c r="M44" s="352">
        <v>56960</v>
      </c>
      <c r="N44" s="352">
        <v>0</v>
      </c>
      <c r="O44" s="352">
        <f t="shared" si="5"/>
        <v>0</v>
      </c>
    </row>
    <row r="45" spans="1:15" s="353" customFormat="1" ht="131.25" x14ac:dyDescent="0.2">
      <c r="A45" s="346">
        <v>18</v>
      </c>
      <c r="B45" s="347">
        <v>243161</v>
      </c>
      <c r="C45" s="348" t="s">
        <v>1109</v>
      </c>
      <c r="D45" s="346" t="s">
        <v>1838</v>
      </c>
      <c r="E45" s="349" t="s">
        <v>914</v>
      </c>
      <c r="F45" s="350" t="s">
        <v>161</v>
      </c>
      <c r="G45" s="350" t="s">
        <v>1758</v>
      </c>
      <c r="H45" s="351" t="s">
        <v>1954</v>
      </c>
      <c r="I45" s="352">
        <v>1059820</v>
      </c>
      <c r="J45" s="352">
        <v>0</v>
      </c>
      <c r="K45" s="352">
        <v>0</v>
      </c>
      <c r="L45" s="352">
        <v>79486.5</v>
      </c>
      <c r="M45" s="352">
        <v>79486.5</v>
      </c>
      <c r="N45" s="363">
        <v>0</v>
      </c>
      <c r="O45" s="352">
        <f t="shared" si="5"/>
        <v>900847</v>
      </c>
    </row>
    <row r="46" spans="1:15" s="353" customFormat="1" ht="112.5" x14ac:dyDescent="0.2">
      <c r="A46" s="346">
        <v>19</v>
      </c>
      <c r="B46" s="347">
        <v>243161</v>
      </c>
      <c r="C46" s="348" t="s">
        <v>1109</v>
      </c>
      <c r="D46" s="346" t="s">
        <v>1839</v>
      </c>
      <c r="E46" s="349" t="s">
        <v>957</v>
      </c>
      <c r="F46" s="350" t="s">
        <v>161</v>
      </c>
      <c r="G46" s="350" t="s">
        <v>1198</v>
      </c>
      <c r="H46" s="351" t="s">
        <v>1955</v>
      </c>
      <c r="I46" s="352">
        <v>279391</v>
      </c>
      <c r="J46" s="352">
        <v>13969.55</v>
      </c>
      <c r="K46" s="352">
        <v>13969.550000000001</v>
      </c>
      <c r="L46" s="352">
        <v>0</v>
      </c>
      <c r="M46" s="352">
        <v>0</v>
      </c>
      <c r="N46" s="363">
        <v>0</v>
      </c>
      <c r="O46" s="352">
        <f t="shared" si="5"/>
        <v>251451.9</v>
      </c>
    </row>
    <row r="47" spans="1:15" s="353" customFormat="1" ht="168.75" x14ac:dyDescent="0.2">
      <c r="A47" s="346">
        <v>20</v>
      </c>
      <c r="B47" s="347">
        <v>243161</v>
      </c>
      <c r="C47" s="348" t="s">
        <v>1109</v>
      </c>
      <c r="D47" s="346" t="s">
        <v>1840</v>
      </c>
      <c r="E47" s="349" t="s">
        <v>1841</v>
      </c>
      <c r="F47" s="350" t="s">
        <v>161</v>
      </c>
      <c r="G47" s="350" t="s">
        <v>1758</v>
      </c>
      <c r="H47" s="351" t="s">
        <v>1956</v>
      </c>
      <c r="I47" s="352">
        <f>468904.77+12</f>
        <v>468916.77</v>
      </c>
      <c r="J47" s="352">
        <v>37513.339999999997</v>
      </c>
      <c r="K47" s="352">
        <v>37513.339999999997</v>
      </c>
      <c r="L47" s="352">
        <v>0</v>
      </c>
      <c r="M47" s="352">
        <v>0</v>
      </c>
      <c r="N47" s="363">
        <v>0</v>
      </c>
      <c r="O47" s="352">
        <f t="shared" si="5"/>
        <v>393890.09</v>
      </c>
    </row>
    <row r="48" spans="1:15" s="353" customFormat="1" ht="131.25" x14ac:dyDescent="0.2">
      <c r="A48" s="346">
        <v>21</v>
      </c>
      <c r="B48" s="347">
        <v>243161</v>
      </c>
      <c r="C48" s="348" t="s">
        <v>1109</v>
      </c>
      <c r="D48" s="346" t="s">
        <v>1842</v>
      </c>
      <c r="E48" s="349" t="s">
        <v>914</v>
      </c>
      <c r="F48" s="350" t="s">
        <v>161</v>
      </c>
      <c r="G48" s="350" t="s">
        <v>1758</v>
      </c>
      <c r="H48" s="351" t="s">
        <v>1957</v>
      </c>
      <c r="I48" s="352">
        <v>794865</v>
      </c>
      <c r="J48" s="352">
        <v>0</v>
      </c>
      <c r="K48" s="352">
        <v>0</v>
      </c>
      <c r="L48" s="352">
        <v>59614.87</v>
      </c>
      <c r="M48" s="352">
        <v>59614.87</v>
      </c>
      <c r="N48" s="363">
        <v>0</v>
      </c>
      <c r="O48" s="352">
        <f t="shared" si="5"/>
        <v>675635.26</v>
      </c>
    </row>
    <row r="49" spans="1:15" s="353" customFormat="1" ht="150" x14ac:dyDescent="0.2">
      <c r="A49" s="346">
        <v>22</v>
      </c>
      <c r="B49" s="347">
        <v>243161</v>
      </c>
      <c r="C49" s="348" t="s">
        <v>1109</v>
      </c>
      <c r="D49" s="346" t="s">
        <v>1842</v>
      </c>
      <c r="E49" s="349" t="s">
        <v>914</v>
      </c>
      <c r="F49" s="350" t="s">
        <v>161</v>
      </c>
      <c r="G49" s="350" t="s">
        <v>1758</v>
      </c>
      <c r="H49" s="351" t="s">
        <v>1958</v>
      </c>
      <c r="I49" s="352">
        <v>55780</v>
      </c>
      <c r="J49" s="352">
        <v>0</v>
      </c>
      <c r="K49" s="352">
        <v>0</v>
      </c>
      <c r="L49" s="352">
        <v>4183.5</v>
      </c>
      <c r="M49" s="352">
        <v>4183.5</v>
      </c>
      <c r="N49" s="363">
        <v>0</v>
      </c>
      <c r="O49" s="352">
        <f t="shared" si="5"/>
        <v>47413</v>
      </c>
    </row>
    <row r="50" spans="1:15" s="353" customFormat="1" ht="150" x14ac:dyDescent="0.2">
      <c r="A50" s="346">
        <v>23</v>
      </c>
      <c r="B50" s="347">
        <v>243161</v>
      </c>
      <c r="C50" s="348" t="s">
        <v>1109</v>
      </c>
      <c r="D50" s="346" t="s">
        <v>1842</v>
      </c>
      <c r="E50" s="349" t="s">
        <v>914</v>
      </c>
      <c r="F50" s="350" t="s">
        <v>161</v>
      </c>
      <c r="G50" s="350" t="s">
        <v>1758</v>
      </c>
      <c r="H50" s="351" t="s">
        <v>1959</v>
      </c>
      <c r="I50" s="352">
        <v>41835</v>
      </c>
      <c r="J50" s="352">
        <v>0</v>
      </c>
      <c r="K50" s="352">
        <v>0</v>
      </c>
      <c r="L50" s="352">
        <v>3137.63</v>
      </c>
      <c r="M50" s="352">
        <v>3137.63</v>
      </c>
      <c r="N50" s="363">
        <v>0</v>
      </c>
      <c r="O50" s="352">
        <f t="shared" si="5"/>
        <v>35559.74</v>
      </c>
    </row>
    <row r="51" spans="1:15" s="353" customFormat="1" ht="150" x14ac:dyDescent="0.2">
      <c r="A51" s="346">
        <v>24</v>
      </c>
      <c r="B51" s="347">
        <v>243161</v>
      </c>
      <c r="C51" s="348" t="s">
        <v>1109</v>
      </c>
      <c r="D51" s="346" t="s">
        <v>1846</v>
      </c>
      <c r="E51" s="349" t="s">
        <v>914</v>
      </c>
      <c r="F51" s="350" t="s">
        <v>161</v>
      </c>
      <c r="G51" s="350" t="s">
        <v>1758</v>
      </c>
      <c r="H51" s="351" t="s">
        <v>1960</v>
      </c>
      <c r="I51" s="352">
        <v>41835</v>
      </c>
      <c r="J51" s="352">
        <v>0</v>
      </c>
      <c r="K51" s="352">
        <v>0</v>
      </c>
      <c r="L51" s="352">
        <v>3137.62</v>
      </c>
      <c r="M51" s="352">
        <v>3137.63</v>
      </c>
      <c r="N51" s="352">
        <v>0</v>
      </c>
      <c r="O51" s="352">
        <f t="shared" si="5"/>
        <v>35559.75</v>
      </c>
    </row>
    <row r="52" spans="1:15" s="353" customFormat="1" x14ac:dyDescent="0.2">
      <c r="A52" s="356" t="s">
        <v>512</v>
      </c>
      <c r="B52" s="357"/>
      <c r="C52" s="358"/>
      <c r="D52" s="359"/>
      <c r="E52" s="356"/>
      <c r="F52" s="360"/>
      <c r="G52" s="360"/>
      <c r="H52" s="361"/>
      <c r="I52" s="362">
        <f>SUM(I53:I54)</f>
        <v>345550</v>
      </c>
      <c r="J52" s="362">
        <f t="shared" ref="J52:O52" si="6">SUM(J53:J54)</f>
        <v>1677.5</v>
      </c>
      <c r="K52" s="362">
        <f t="shared" si="6"/>
        <v>1677.5</v>
      </c>
      <c r="L52" s="362">
        <f t="shared" si="6"/>
        <v>0</v>
      </c>
      <c r="M52" s="362">
        <f t="shared" si="6"/>
        <v>0</v>
      </c>
      <c r="N52" s="362">
        <f t="shared" si="6"/>
        <v>0</v>
      </c>
      <c r="O52" s="362">
        <f t="shared" si="6"/>
        <v>342195</v>
      </c>
    </row>
    <row r="53" spans="1:15" s="353" customFormat="1" ht="131.25" x14ac:dyDescent="0.2">
      <c r="A53" s="346">
        <v>1</v>
      </c>
      <c r="B53" s="347" t="s">
        <v>1657</v>
      </c>
      <c r="C53" s="348" t="s">
        <v>1714</v>
      </c>
      <c r="D53" s="346" t="s">
        <v>1715</v>
      </c>
      <c r="E53" s="349" t="s">
        <v>1268</v>
      </c>
      <c r="F53" s="350" t="s">
        <v>512</v>
      </c>
      <c r="G53" s="350" t="s">
        <v>1269</v>
      </c>
      <c r="H53" s="351" t="s">
        <v>1961</v>
      </c>
      <c r="I53" s="352">
        <v>312000</v>
      </c>
      <c r="J53" s="352">
        <v>0</v>
      </c>
      <c r="K53" s="352">
        <v>0</v>
      </c>
      <c r="L53" s="352">
        <v>0</v>
      </c>
      <c r="M53" s="352">
        <v>0</v>
      </c>
      <c r="N53" s="355" t="s">
        <v>1255</v>
      </c>
      <c r="O53" s="352">
        <f>+I53-(SUM(J53:N53))</f>
        <v>312000</v>
      </c>
    </row>
    <row r="54" spans="1:15" s="353" customFormat="1" ht="168.75" x14ac:dyDescent="0.2">
      <c r="A54" s="346">
        <v>2</v>
      </c>
      <c r="B54" s="347" t="s">
        <v>1791</v>
      </c>
      <c r="C54" s="348" t="s">
        <v>1887</v>
      </c>
      <c r="D54" s="346" t="s">
        <v>1888</v>
      </c>
      <c r="E54" s="349" t="s">
        <v>1197</v>
      </c>
      <c r="F54" s="350" t="s">
        <v>156</v>
      </c>
      <c r="G54" s="350" t="s">
        <v>1198</v>
      </c>
      <c r="H54" s="351" t="s">
        <v>1962</v>
      </c>
      <c r="I54" s="352">
        <v>33550</v>
      </c>
      <c r="J54" s="352">
        <v>1677.5</v>
      </c>
      <c r="K54" s="352">
        <v>1677.5</v>
      </c>
      <c r="L54" s="352">
        <v>0</v>
      </c>
      <c r="M54" s="352">
        <v>0</v>
      </c>
      <c r="N54" s="352">
        <v>0</v>
      </c>
      <c r="O54" s="352">
        <f>+I54-(SUM(J54:N54))</f>
        <v>30195</v>
      </c>
    </row>
    <row r="55" spans="1:15" s="353" customFormat="1" x14ac:dyDescent="0.2">
      <c r="A55" s="356" t="s">
        <v>22</v>
      </c>
      <c r="B55" s="357"/>
      <c r="C55" s="358"/>
      <c r="D55" s="359"/>
      <c r="E55" s="356"/>
      <c r="F55" s="360"/>
      <c r="G55" s="360"/>
      <c r="H55" s="361"/>
      <c r="I55" s="362">
        <f>SUM(I56:I75)</f>
        <v>5687959</v>
      </c>
      <c r="J55" s="362">
        <f t="shared" ref="J55:O55" si="7">SUM(J56:J75)</f>
        <v>97970</v>
      </c>
      <c r="K55" s="362">
        <f t="shared" si="7"/>
        <v>97970</v>
      </c>
      <c r="L55" s="362">
        <f t="shared" si="7"/>
        <v>51225</v>
      </c>
      <c r="M55" s="362">
        <f t="shared" si="7"/>
        <v>51225</v>
      </c>
      <c r="N55" s="362">
        <f t="shared" si="7"/>
        <v>0</v>
      </c>
      <c r="O55" s="362">
        <f t="shared" si="7"/>
        <v>5389569</v>
      </c>
    </row>
    <row r="56" spans="1:15" s="353" customFormat="1" ht="75" x14ac:dyDescent="0.2">
      <c r="A56" s="346">
        <v>1</v>
      </c>
      <c r="B56" s="347" t="s">
        <v>916</v>
      </c>
      <c r="C56" s="348" t="s">
        <v>917</v>
      </c>
      <c r="D56" s="346" t="s">
        <v>918</v>
      </c>
      <c r="E56" s="349" t="s">
        <v>451</v>
      </c>
      <c r="F56" s="350" t="s">
        <v>22</v>
      </c>
      <c r="G56" s="350" t="s">
        <v>919</v>
      </c>
      <c r="H56" s="351" t="s">
        <v>1963</v>
      </c>
      <c r="I56" s="352">
        <v>490400</v>
      </c>
      <c r="J56" s="352">
        <v>24520</v>
      </c>
      <c r="K56" s="352">
        <v>24520</v>
      </c>
      <c r="L56" s="352">
        <v>0</v>
      </c>
      <c r="M56" s="352">
        <v>0</v>
      </c>
      <c r="N56" s="352">
        <v>0</v>
      </c>
      <c r="O56" s="352">
        <f t="shared" ref="O56:O75" si="8">+I56-(SUM(J56:N56))</f>
        <v>441360</v>
      </c>
    </row>
    <row r="57" spans="1:15" s="353" customFormat="1" ht="131.25" x14ac:dyDescent="0.2">
      <c r="A57" s="346">
        <v>2</v>
      </c>
      <c r="B57" s="347" t="s">
        <v>1623</v>
      </c>
      <c r="C57" s="348" t="s">
        <v>1699</v>
      </c>
      <c r="D57" s="346" t="s">
        <v>1700</v>
      </c>
      <c r="E57" s="349" t="s">
        <v>451</v>
      </c>
      <c r="F57" s="350" t="s">
        <v>22</v>
      </c>
      <c r="G57" s="350" t="s">
        <v>1701</v>
      </c>
      <c r="H57" s="351" t="s">
        <v>1964</v>
      </c>
      <c r="I57" s="352">
        <v>18000</v>
      </c>
      <c r="J57" s="352">
        <v>1440</v>
      </c>
      <c r="K57" s="352">
        <v>1440</v>
      </c>
      <c r="L57" s="352">
        <v>0</v>
      </c>
      <c r="M57" s="352">
        <v>0</v>
      </c>
      <c r="N57" s="352">
        <v>0</v>
      </c>
      <c r="O57" s="352">
        <f t="shared" si="8"/>
        <v>15120</v>
      </c>
    </row>
    <row r="58" spans="1:15" s="353" customFormat="1" ht="112.5" x14ac:dyDescent="0.2">
      <c r="A58" s="346">
        <v>3</v>
      </c>
      <c r="B58" s="347" t="s">
        <v>1708</v>
      </c>
      <c r="C58" s="348" t="s">
        <v>1709</v>
      </c>
      <c r="D58" s="346" t="s">
        <v>1710</v>
      </c>
      <c r="E58" s="349" t="s">
        <v>475</v>
      </c>
      <c r="F58" s="350" t="s">
        <v>22</v>
      </c>
      <c r="G58" s="350" t="s">
        <v>493</v>
      </c>
      <c r="H58" s="351" t="s">
        <v>1965</v>
      </c>
      <c r="I58" s="352">
        <v>18000</v>
      </c>
      <c r="J58" s="352">
        <v>0</v>
      </c>
      <c r="K58" s="352">
        <v>0</v>
      </c>
      <c r="L58" s="352">
        <v>0</v>
      </c>
      <c r="M58" s="352">
        <v>0</v>
      </c>
      <c r="N58" s="355" t="s">
        <v>1189</v>
      </c>
      <c r="O58" s="352">
        <f t="shared" si="8"/>
        <v>18000</v>
      </c>
    </row>
    <row r="59" spans="1:15" s="353" customFormat="1" ht="168.75" x14ac:dyDescent="0.2">
      <c r="A59" s="346">
        <v>4</v>
      </c>
      <c r="B59" s="347" t="s">
        <v>1680</v>
      </c>
      <c r="C59" s="348" t="s">
        <v>1686</v>
      </c>
      <c r="D59" s="346" t="s">
        <v>1687</v>
      </c>
      <c r="E59" s="349" t="s">
        <v>1724</v>
      </c>
      <c r="F59" s="350" t="s">
        <v>22</v>
      </c>
      <c r="G59" s="350" t="s">
        <v>1689</v>
      </c>
      <c r="H59" s="351" t="s">
        <v>1966</v>
      </c>
      <c r="I59" s="352">
        <v>360000</v>
      </c>
      <c r="J59" s="352">
        <v>0</v>
      </c>
      <c r="K59" s="352">
        <v>0</v>
      </c>
      <c r="L59" s="352">
        <v>0</v>
      </c>
      <c r="M59" s="352">
        <v>0</v>
      </c>
      <c r="N59" s="355" t="s">
        <v>1748</v>
      </c>
      <c r="O59" s="352">
        <f t="shared" si="8"/>
        <v>360000</v>
      </c>
    </row>
    <row r="60" spans="1:15" s="353" customFormat="1" ht="112.5" x14ac:dyDescent="0.2">
      <c r="A60" s="346">
        <v>5</v>
      </c>
      <c r="B60" s="347" t="s">
        <v>1690</v>
      </c>
      <c r="C60" s="348" t="s">
        <v>1725</v>
      </c>
      <c r="D60" s="346" t="s">
        <v>1726</v>
      </c>
      <c r="E60" s="349" t="s">
        <v>451</v>
      </c>
      <c r="F60" s="350" t="s">
        <v>22</v>
      </c>
      <c r="G60" s="350" t="s">
        <v>1162</v>
      </c>
      <c r="H60" s="351" t="s">
        <v>1967</v>
      </c>
      <c r="I60" s="352">
        <v>26125</v>
      </c>
      <c r="J60" s="352">
        <v>0</v>
      </c>
      <c r="K60" s="352">
        <v>0</v>
      </c>
      <c r="L60" s="352">
        <v>0</v>
      </c>
      <c r="M60" s="352">
        <v>0</v>
      </c>
      <c r="N60" s="355" t="s">
        <v>1855</v>
      </c>
      <c r="O60" s="352">
        <f t="shared" si="8"/>
        <v>26125</v>
      </c>
    </row>
    <row r="61" spans="1:15" s="353" customFormat="1" ht="168.75" x14ac:dyDescent="0.2">
      <c r="A61" s="346">
        <v>6</v>
      </c>
      <c r="B61" s="347" t="s">
        <v>1690</v>
      </c>
      <c r="C61" s="348" t="s">
        <v>1727</v>
      </c>
      <c r="D61" s="346" t="s">
        <v>1728</v>
      </c>
      <c r="E61" s="349" t="s">
        <v>1180</v>
      </c>
      <c r="F61" s="350" t="s">
        <v>22</v>
      </c>
      <c r="G61" s="350" t="s">
        <v>1729</v>
      </c>
      <c r="H61" s="351" t="s">
        <v>1968</v>
      </c>
      <c r="I61" s="352">
        <v>30000</v>
      </c>
      <c r="J61" s="352">
        <v>2400</v>
      </c>
      <c r="K61" s="352">
        <v>2400</v>
      </c>
      <c r="L61" s="352">
        <v>0</v>
      </c>
      <c r="M61" s="352">
        <v>0</v>
      </c>
      <c r="N61" s="352">
        <v>0</v>
      </c>
      <c r="O61" s="352">
        <f t="shared" si="8"/>
        <v>25200</v>
      </c>
    </row>
    <row r="62" spans="1:15" s="353" customFormat="1" ht="112.5" x14ac:dyDescent="0.2">
      <c r="A62" s="346">
        <v>7</v>
      </c>
      <c r="B62" s="347" t="s">
        <v>1735</v>
      </c>
      <c r="C62" s="348" t="s">
        <v>1736</v>
      </c>
      <c r="D62" s="346" t="s">
        <v>1737</v>
      </c>
      <c r="E62" s="349" t="s">
        <v>1126</v>
      </c>
      <c r="F62" s="350" t="s">
        <v>22</v>
      </c>
      <c r="G62" s="350" t="s">
        <v>1127</v>
      </c>
      <c r="H62" s="351" t="s">
        <v>1969</v>
      </c>
      <c r="I62" s="352">
        <v>32000</v>
      </c>
      <c r="J62" s="352">
        <v>0</v>
      </c>
      <c r="K62" s="352">
        <v>0</v>
      </c>
      <c r="L62" s="352">
        <v>0</v>
      </c>
      <c r="M62" s="352">
        <v>0</v>
      </c>
      <c r="N62" s="355" t="s">
        <v>1189</v>
      </c>
      <c r="O62" s="352">
        <f t="shared" si="8"/>
        <v>32000</v>
      </c>
    </row>
    <row r="63" spans="1:15" s="353" customFormat="1" ht="168.75" x14ac:dyDescent="0.2">
      <c r="A63" s="346">
        <v>8</v>
      </c>
      <c r="B63" s="347" t="s">
        <v>1743</v>
      </c>
      <c r="C63" s="348" t="s">
        <v>1744</v>
      </c>
      <c r="D63" s="346" t="s">
        <v>1745</v>
      </c>
      <c r="E63" s="349" t="s">
        <v>1234</v>
      </c>
      <c r="F63" s="350" t="s">
        <v>22</v>
      </c>
      <c r="G63" s="350" t="s">
        <v>1235</v>
      </c>
      <c r="H63" s="351" t="s">
        <v>1970</v>
      </c>
      <c r="I63" s="352">
        <v>448450</v>
      </c>
      <c r="J63" s="352">
        <v>0</v>
      </c>
      <c r="K63" s="352">
        <v>0</v>
      </c>
      <c r="L63" s="352">
        <v>36225</v>
      </c>
      <c r="M63" s="352">
        <v>36225</v>
      </c>
      <c r="N63" s="352">
        <v>0</v>
      </c>
      <c r="O63" s="352">
        <f t="shared" si="8"/>
        <v>376000</v>
      </c>
    </row>
    <row r="64" spans="1:15" s="353" customFormat="1" ht="131.25" x14ac:dyDescent="0.2">
      <c r="A64" s="346">
        <v>9</v>
      </c>
      <c r="B64" s="347" t="s">
        <v>1694</v>
      </c>
      <c r="C64" s="348" t="s">
        <v>1746</v>
      </c>
      <c r="D64" s="346" t="s">
        <v>1747</v>
      </c>
      <c r="E64" s="349" t="s">
        <v>1151</v>
      </c>
      <c r="F64" s="350" t="s">
        <v>22</v>
      </c>
      <c r="G64" s="350" t="s">
        <v>1152</v>
      </c>
      <c r="H64" s="351" t="s">
        <v>1971</v>
      </c>
      <c r="I64" s="352">
        <v>60000</v>
      </c>
      <c r="J64" s="352">
        <v>0</v>
      </c>
      <c r="K64" s="352">
        <v>0</v>
      </c>
      <c r="L64" s="352">
        <v>0</v>
      </c>
      <c r="M64" s="352">
        <v>0</v>
      </c>
      <c r="N64" s="355" t="s">
        <v>1189</v>
      </c>
      <c r="O64" s="352">
        <f t="shared" si="8"/>
        <v>60000</v>
      </c>
    </row>
    <row r="65" spans="1:15" s="353" customFormat="1" ht="75" x14ac:dyDescent="0.2">
      <c r="A65" s="346">
        <v>10</v>
      </c>
      <c r="B65" s="347" t="s">
        <v>1856</v>
      </c>
      <c r="C65" s="348" t="s">
        <v>1857</v>
      </c>
      <c r="D65" s="346" t="s">
        <v>1858</v>
      </c>
      <c r="E65" s="349" t="s">
        <v>451</v>
      </c>
      <c r="F65" s="350" t="s">
        <v>22</v>
      </c>
      <c r="G65" s="350" t="s">
        <v>1859</v>
      </c>
      <c r="H65" s="351" t="s">
        <v>1972</v>
      </c>
      <c r="I65" s="352">
        <v>120750</v>
      </c>
      <c r="J65" s="352">
        <v>9660</v>
      </c>
      <c r="K65" s="352">
        <v>9660</v>
      </c>
      <c r="L65" s="352">
        <v>0</v>
      </c>
      <c r="M65" s="352">
        <v>0</v>
      </c>
      <c r="N65" s="352">
        <v>0</v>
      </c>
      <c r="O65" s="352">
        <f t="shared" si="8"/>
        <v>101430</v>
      </c>
    </row>
    <row r="66" spans="1:15" s="353" customFormat="1" ht="150" x14ac:dyDescent="0.2">
      <c r="A66" s="346">
        <v>11</v>
      </c>
      <c r="B66" s="347" t="s">
        <v>1749</v>
      </c>
      <c r="C66" s="348" t="s">
        <v>1863</v>
      </c>
      <c r="D66" s="346" t="s">
        <v>1864</v>
      </c>
      <c r="E66" s="349" t="s">
        <v>451</v>
      </c>
      <c r="F66" s="350" t="s">
        <v>22</v>
      </c>
      <c r="G66" s="350" t="s">
        <v>1865</v>
      </c>
      <c r="H66" s="351" t="s">
        <v>1973</v>
      </c>
      <c r="I66" s="352">
        <v>500000</v>
      </c>
      <c r="J66" s="352">
        <v>40000</v>
      </c>
      <c r="K66" s="352">
        <v>40000</v>
      </c>
      <c r="L66" s="352">
        <v>0</v>
      </c>
      <c r="M66" s="352">
        <v>0</v>
      </c>
      <c r="N66" s="352">
        <v>0</v>
      </c>
      <c r="O66" s="352">
        <f t="shared" si="8"/>
        <v>420000</v>
      </c>
    </row>
    <row r="67" spans="1:15" s="353" customFormat="1" ht="131.25" x14ac:dyDescent="0.2">
      <c r="A67" s="346">
        <v>12</v>
      </c>
      <c r="B67" s="347" t="s">
        <v>1866</v>
      </c>
      <c r="C67" s="348" t="s">
        <v>1867</v>
      </c>
      <c r="D67" s="346" t="s">
        <v>1868</v>
      </c>
      <c r="E67" s="349" t="s">
        <v>451</v>
      </c>
      <c r="F67" s="350" t="s">
        <v>22</v>
      </c>
      <c r="G67" s="350" t="s">
        <v>1162</v>
      </c>
      <c r="H67" s="351" t="s">
        <v>1974</v>
      </c>
      <c r="I67" s="352">
        <v>27500</v>
      </c>
      <c r="J67" s="352">
        <v>0</v>
      </c>
      <c r="K67" s="352">
        <v>0</v>
      </c>
      <c r="L67" s="352">
        <v>0</v>
      </c>
      <c r="M67" s="352">
        <v>0</v>
      </c>
      <c r="N67" s="355" t="s">
        <v>1855</v>
      </c>
      <c r="O67" s="352">
        <f t="shared" si="8"/>
        <v>27500</v>
      </c>
    </row>
    <row r="68" spans="1:15" s="353" customFormat="1" ht="131.25" x14ac:dyDescent="0.2">
      <c r="A68" s="346">
        <v>13</v>
      </c>
      <c r="B68" s="347" t="s">
        <v>1759</v>
      </c>
      <c r="C68" s="348" t="s">
        <v>1869</v>
      </c>
      <c r="D68" s="346" t="s">
        <v>1870</v>
      </c>
      <c r="E68" s="349" t="s">
        <v>451</v>
      </c>
      <c r="F68" s="350" t="s">
        <v>22</v>
      </c>
      <c r="G68" s="350" t="s">
        <v>1162</v>
      </c>
      <c r="H68" s="351" t="s">
        <v>1975</v>
      </c>
      <c r="I68" s="352">
        <v>179550</v>
      </c>
      <c r="J68" s="352">
        <v>0</v>
      </c>
      <c r="K68" s="352">
        <v>0</v>
      </c>
      <c r="L68" s="352">
        <v>15000</v>
      </c>
      <c r="M68" s="352">
        <v>15000</v>
      </c>
      <c r="N68" s="352">
        <v>0</v>
      </c>
      <c r="O68" s="352">
        <f t="shared" si="8"/>
        <v>149550</v>
      </c>
    </row>
    <row r="69" spans="1:15" s="353" customFormat="1" ht="131.25" x14ac:dyDescent="0.2">
      <c r="A69" s="346">
        <v>14</v>
      </c>
      <c r="B69" s="347" t="s">
        <v>1769</v>
      </c>
      <c r="C69" s="348" t="s">
        <v>1878</v>
      </c>
      <c r="D69" s="346" t="s">
        <v>1879</v>
      </c>
      <c r="E69" s="349" t="s">
        <v>1880</v>
      </c>
      <c r="F69" s="350" t="s">
        <v>22</v>
      </c>
      <c r="G69" s="350" t="s">
        <v>1198</v>
      </c>
      <c r="H69" s="351" t="s">
        <v>1976</v>
      </c>
      <c r="I69" s="352">
        <v>133000</v>
      </c>
      <c r="J69" s="352">
        <v>6650</v>
      </c>
      <c r="K69" s="352">
        <v>6650</v>
      </c>
      <c r="L69" s="352">
        <v>0</v>
      </c>
      <c r="M69" s="352">
        <v>0</v>
      </c>
      <c r="N69" s="355">
        <v>0</v>
      </c>
      <c r="O69" s="352">
        <f t="shared" si="8"/>
        <v>119700</v>
      </c>
    </row>
    <row r="70" spans="1:15" s="353" customFormat="1" ht="225" x14ac:dyDescent="0.2">
      <c r="A70" s="346">
        <v>15</v>
      </c>
      <c r="B70" s="347" t="s">
        <v>1782</v>
      </c>
      <c r="C70" s="348" t="s">
        <v>1783</v>
      </c>
      <c r="D70" s="346" t="s">
        <v>1784</v>
      </c>
      <c r="E70" s="349" t="s">
        <v>1884</v>
      </c>
      <c r="F70" s="350" t="s">
        <v>22</v>
      </c>
      <c r="G70" s="350" t="s">
        <v>930</v>
      </c>
      <c r="H70" s="351" t="s">
        <v>1977</v>
      </c>
      <c r="I70" s="352">
        <v>407140</v>
      </c>
      <c r="J70" s="352">
        <v>0</v>
      </c>
      <c r="K70" s="352">
        <v>0</v>
      </c>
      <c r="L70" s="352">
        <v>0</v>
      </c>
      <c r="M70" s="352">
        <v>0</v>
      </c>
      <c r="N70" s="355" t="s">
        <v>1786</v>
      </c>
      <c r="O70" s="352">
        <f t="shared" si="8"/>
        <v>407140</v>
      </c>
    </row>
    <row r="71" spans="1:15" s="353" customFormat="1" ht="187.5" x14ac:dyDescent="0.2">
      <c r="A71" s="346">
        <v>16</v>
      </c>
      <c r="B71" s="347" t="s">
        <v>1782</v>
      </c>
      <c r="C71" s="348" t="s">
        <v>1783</v>
      </c>
      <c r="D71" s="346" t="s">
        <v>1784</v>
      </c>
      <c r="E71" s="349" t="s">
        <v>1884</v>
      </c>
      <c r="F71" s="350" t="s">
        <v>22</v>
      </c>
      <c r="G71" s="350" t="s">
        <v>930</v>
      </c>
      <c r="H71" s="351" t="s">
        <v>1978</v>
      </c>
      <c r="I71" s="352">
        <v>916065</v>
      </c>
      <c r="J71" s="352">
        <v>0</v>
      </c>
      <c r="K71" s="352">
        <v>0</v>
      </c>
      <c r="L71" s="352">
        <v>0</v>
      </c>
      <c r="M71" s="352">
        <v>0</v>
      </c>
      <c r="N71" s="355" t="s">
        <v>1786</v>
      </c>
      <c r="O71" s="352">
        <f t="shared" si="8"/>
        <v>916065</v>
      </c>
    </row>
    <row r="72" spans="1:15" s="353" customFormat="1" ht="112.5" x14ac:dyDescent="0.2">
      <c r="A72" s="346">
        <v>17</v>
      </c>
      <c r="B72" s="347" t="s">
        <v>1807</v>
      </c>
      <c r="C72" s="348" t="s">
        <v>1808</v>
      </c>
      <c r="D72" s="346" t="s">
        <v>1809</v>
      </c>
      <c r="E72" s="349" t="s">
        <v>1894</v>
      </c>
      <c r="F72" s="350" t="s">
        <v>22</v>
      </c>
      <c r="G72" s="350" t="s">
        <v>1763</v>
      </c>
      <c r="H72" s="351" t="s">
        <v>1979</v>
      </c>
      <c r="I72" s="352">
        <v>1445479</v>
      </c>
      <c r="J72" s="352">
        <v>0</v>
      </c>
      <c r="K72" s="352">
        <v>0</v>
      </c>
      <c r="L72" s="352">
        <v>0</v>
      </c>
      <c r="M72" s="352">
        <v>0</v>
      </c>
      <c r="N72" s="355" t="s">
        <v>1786</v>
      </c>
      <c r="O72" s="352">
        <f t="shared" si="8"/>
        <v>1445479</v>
      </c>
    </row>
    <row r="73" spans="1:15" s="353" customFormat="1" ht="168.75" x14ac:dyDescent="0.2">
      <c r="A73" s="346">
        <v>18</v>
      </c>
      <c r="B73" s="347" t="s">
        <v>1826</v>
      </c>
      <c r="C73" s="348" t="s">
        <v>1905</v>
      </c>
      <c r="D73" s="346" t="s">
        <v>1906</v>
      </c>
      <c r="E73" s="349" t="s">
        <v>1907</v>
      </c>
      <c r="F73" s="350" t="s">
        <v>22</v>
      </c>
      <c r="G73" s="350" t="s">
        <v>1908</v>
      </c>
      <c r="H73" s="351" t="s">
        <v>1980</v>
      </c>
      <c r="I73" s="352">
        <v>10000</v>
      </c>
      <c r="J73" s="352">
        <v>0</v>
      </c>
      <c r="K73" s="352">
        <v>0</v>
      </c>
      <c r="L73" s="352">
        <v>0</v>
      </c>
      <c r="M73" s="352">
        <v>0</v>
      </c>
      <c r="N73" s="355" t="s">
        <v>1837</v>
      </c>
      <c r="O73" s="352">
        <f t="shared" si="8"/>
        <v>10000</v>
      </c>
    </row>
    <row r="74" spans="1:15" s="353" customFormat="1" ht="131.25" x14ac:dyDescent="0.2">
      <c r="A74" s="346">
        <v>19</v>
      </c>
      <c r="B74" s="347">
        <v>243161</v>
      </c>
      <c r="C74" s="348" t="s">
        <v>1109</v>
      </c>
      <c r="D74" s="346" t="s">
        <v>1909</v>
      </c>
      <c r="E74" s="349" t="s">
        <v>1880</v>
      </c>
      <c r="F74" s="350" t="s">
        <v>22</v>
      </c>
      <c r="G74" s="350" t="s">
        <v>1198</v>
      </c>
      <c r="H74" s="351" t="s">
        <v>1981</v>
      </c>
      <c r="I74" s="352">
        <v>266000</v>
      </c>
      <c r="J74" s="352">
        <v>13300</v>
      </c>
      <c r="K74" s="352">
        <v>13300</v>
      </c>
      <c r="L74" s="352">
        <v>0</v>
      </c>
      <c r="M74" s="352">
        <v>0</v>
      </c>
      <c r="N74" s="363">
        <v>0</v>
      </c>
      <c r="O74" s="352">
        <f t="shared" si="8"/>
        <v>239400</v>
      </c>
    </row>
    <row r="75" spans="1:15" s="353" customFormat="1" ht="131.25" x14ac:dyDescent="0.2">
      <c r="A75" s="346">
        <v>20</v>
      </c>
      <c r="B75" s="347">
        <v>243161</v>
      </c>
      <c r="C75" s="348" t="s">
        <v>1109</v>
      </c>
      <c r="D75" s="346" t="s">
        <v>1910</v>
      </c>
      <c r="E75" s="349" t="s">
        <v>451</v>
      </c>
      <c r="F75" s="350" t="s">
        <v>22</v>
      </c>
      <c r="G75" s="350" t="s">
        <v>1162</v>
      </c>
      <c r="H75" s="351" t="s">
        <v>1982</v>
      </c>
      <c r="I75" s="352">
        <v>199500</v>
      </c>
      <c r="J75" s="352">
        <v>0</v>
      </c>
      <c r="K75" s="352">
        <v>0</v>
      </c>
      <c r="L75" s="352"/>
      <c r="M75" s="352"/>
      <c r="N75" s="355" t="s">
        <v>1911</v>
      </c>
      <c r="O75" s="352">
        <f t="shared" si="8"/>
        <v>199500</v>
      </c>
    </row>
    <row r="76" spans="1:15" s="353" customFormat="1" x14ac:dyDescent="0.2">
      <c r="A76" s="356" t="s">
        <v>1229</v>
      </c>
      <c r="B76" s="357"/>
      <c r="C76" s="358"/>
      <c r="D76" s="359"/>
      <c r="E76" s="356"/>
      <c r="F76" s="360"/>
      <c r="G76" s="360"/>
      <c r="H76" s="361"/>
      <c r="I76" s="362">
        <f>SUM(I77:I79)</f>
        <v>321658</v>
      </c>
      <c r="J76" s="362">
        <f t="shared" ref="J76:O76" si="9">SUM(J77:J79)</f>
        <v>0</v>
      </c>
      <c r="K76" s="362">
        <f t="shared" si="9"/>
        <v>0</v>
      </c>
      <c r="L76" s="362">
        <f t="shared" si="9"/>
        <v>0</v>
      </c>
      <c r="M76" s="362">
        <f t="shared" si="9"/>
        <v>0</v>
      </c>
      <c r="N76" s="362">
        <f t="shared" si="9"/>
        <v>0</v>
      </c>
      <c r="O76" s="362">
        <f t="shared" si="9"/>
        <v>321658</v>
      </c>
    </row>
    <row r="77" spans="1:15" s="353" customFormat="1" ht="150" x14ac:dyDescent="0.2">
      <c r="A77" s="346">
        <v>1</v>
      </c>
      <c r="B77" s="347" t="s">
        <v>1782</v>
      </c>
      <c r="C77" s="348" t="s">
        <v>1787</v>
      </c>
      <c r="D77" s="346" t="s">
        <v>1788</v>
      </c>
      <c r="E77" s="349" t="s">
        <v>1885</v>
      </c>
      <c r="F77" s="350" t="s">
        <v>1229</v>
      </c>
      <c r="G77" s="350" t="s">
        <v>930</v>
      </c>
      <c r="H77" s="351" t="s">
        <v>1983</v>
      </c>
      <c r="I77" s="352">
        <v>142948</v>
      </c>
      <c r="J77" s="352">
        <v>0</v>
      </c>
      <c r="K77" s="352">
        <v>0</v>
      </c>
      <c r="L77" s="352">
        <v>0</v>
      </c>
      <c r="M77" s="352">
        <v>0</v>
      </c>
      <c r="N77" s="355" t="s">
        <v>1786</v>
      </c>
      <c r="O77" s="352">
        <f>+I77-(SUM(J77:N77))</f>
        <v>142948</v>
      </c>
    </row>
    <row r="78" spans="1:15" s="353" customFormat="1" ht="168.75" x14ac:dyDescent="0.2">
      <c r="A78" s="346">
        <v>2</v>
      </c>
      <c r="B78" s="347" t="s">
        <v>1782</v>
      </c>
      <c r="C78" s="348" t="s">
        <v>1787</v>
      </c>
      <c r="D78" s="346" t="s">
        <v>1788</v>
      </c>
      <c r="E78" s="349" t="s">
        <v>1886</v>
      </c>
      <c r="F78" s="350" t="s">
        <v>1229</v>
      </c>
      <c r="G78" s="350" t="s">
        <v>930</v>
      </c>
      <c r="H78" s="351" t="s">
        <v>1984</v>
      </c>
      <c r="I78" s="352">
        <v>168710</v>
      </c>
      <c r="J78" s="352">
        <v>0</v>
      </c>
      <c r="K78" s="352">
        <v>0</v>
      </c>
      <c r="L78" s="352">
        <v>0</v>
      </c>
      <c r="M78" s="352">
        <v>0</v>
      </c>
      <c r="N78" s="355" t="s">
        <v>1786</v>
      </c>
      <c r="O78" s="352">
        <f>+I78-(SUM(J78:N78))</f>
        <v>168710</v>
      </c>
    </row>
    <row r="79" spans="1:15" s="353" customFormat="1" ht="192" customHeight="1" x14ac:dyDescent="0.2">
      <c r="A79" s="346">
        <v>3</v>
      </c>
      <c r="B79" s="347" t="s">
        <v>1796</v>
      </c>
      <c r="C79" s="348" t="s">
        <v>1889</v>
      </c>
      <c r="D79" s="346" t="s">
        <v>1890</v>
      </c>
      <c r="E79" s="349" t="s">
        <v>1891</v>
      </c>
      <c r="F79" s="350" t="s">
        <v>1229</v>
      </c>
      <c r="G79" s="350" t="s">
        <v>1892</v>
      </c>
      <c r="H79" s="351" t="s">
        <v>1985</v>
      </c>
      <c r="I79" s="352">
        <v>10000</v>
      </c>
      <c r="J79" s="352">
        <v>0</v>
      </c>
      <c r="K79" s="352">
        <v>0</v>
      </c>
      <c r="L79" s="352">
        <v>0</v>
      </c>
      <c r="M79" s="352">
        <v>0</v>
      </c>
      <c r="N79" s="355" t="s">
        <v>1893</v>
      </c>
      <c r="O79" s="352">
        <f>+I79-(SUM(J79:N79))</f>
        <v>10000</v>
      </c>
    </row>
    <row r="80" spans="1:15" s="353" customFormat="1" x14ac:dyDescent="0.2">
      <c r="A80" s="356" t="s">
        <v>308</v>
      </c>
      <c r="B80" s="357"/>
      <c r="C80" s="358"/>
      <c r="D80" s="359"/>
      <c r="E80" s="356"/>
      <c r="F80" s="360"/>
      <c r="G80" s="360"/>
      <c r="H80" s="361"/>
      <c r="I80" s="362">
        <f>SUM(I81:I83)</f>
        <v>1217800</v>
      </c>
      <c r="J80" s="362">
        <f t="shared" ref="J80:O80" si="10">SUM(J81:J83)</f>
        <v>15105</v>
      </c>
      <c r="K80" s="362">
        <f t="shared" si="10"/>
        <v>15105</v>
      </c>
      <c r="L80" s="362">
        <f t="shared" si="10"/>
        <v>0</v>
      </c>
      <c r="M80" s="362">
        <f t="shared" si="10"/>
        <v>0</v>
      </c>
      <c r="N80" s="362">
        <f t="shared" si="10"/>
        <v>0</v>
      </c>
      <c r="O80" s="362">
        <f t="shared" si="10"/>
        <v>1187590</v>
      </c>
    </row>
    <row r="81" spans="1:16" s="353" customFormat="1" ht="208.5" customHeight="1" x14ac:dyDescent="0.2">
      <c r="A81" s="346">
        <v>1</v>
      </c>
      <c r="B81" s="347" t="s">
        <v>1759</v>
      </c>
      <c r="C81" s="348" t="s">
        <v>1760</v>
      </c>
      <c r="D81" s="346" t="s">
        <v>1761</v>
      </c>
      <c r="E81" s="349" t="s">
        <v>1762</v>
      </c>
      <c r="F81" s="350" t="s">
        <v>308</v>
      </c>
      <c r="G81" s="350" t="s">
        <v>1763</v>
      </c>
      <c r="H81" s="351" t="s">
        <v>1986</v>
      </c>
      <c r="I81" s="352">
        <v>915700</v>
      </c>
      <c r="J81" s="352">
        <v>0</v>
      </c>
      <c r="K81" s="352">
        <v>0</v>
      </c>
      <c r="L81" s="352">
        <v>0</v>
      </c>
      <c r="M81" s="352">
        <v>0</v>
      </c>
      <c r="N81" s="355" t="s">
        <v>1742</v>
      </c>
      <c r="O81" s="352">
        <f>+I81-(SUM(J81:N81))</f>
        <v>915700</v>
      </c>
    </row>
    <row r="82" spans="1:16" s="353" customFormat="1" ht="93.75" x14ac:dyDescent="0.2">
      <c r="A82" s="346">
        <v>2</v>
      </c>
      <c r="B82" s="347" t="s">
        <v>1769</v>
      </c>
      <c r="C82" s="348" t="s">
        <v>1772</v>
      </c>
      <c r="D82" s="346" t="s">
        <v>1773</v>
      </c>
      <c r="E82" s="349" t="s">
        <v>1774</v>
      </c>
      <c r="F82" s="350" t="s">
        <v>308</v>
      </c>
      <c r="G82" s="350" t="s">
        <v>1198</v>
      </c>
      <c r="H82" s="351" t="s">
        <v>1987</v>
      </c>
      <c r="I82" s="352">
        <v>100700</v>
      </c>
      <c r="J82" s="352">
        <v>5035</v>
      </c>
      <c r="K82" s="352">
        <v>5035</v>
      </c>
      <c r="L82" s="352">
        <v>0</v>
      </c>
      <c r="M82" s="352">
        <v>0</v>
      </c>
      <c r="N82" s="352">
        <v>0</v>
      </c>
      <c r="O82" s="352">
        <f>+I82-(SUM(J82:N82))</f>
        <v>90630</v>
      </c>
    </row>
    <row r="83" spans="1:16" s="353" customFormat="1" ht="93.75" x14ac:dyDescent="0.2">
      <c r="A83" s="346">
        <v>3</v>
      </c>
      <c r="B83" s="347">
        <v>243161</v>
      </c>
      <c r="C83" s="348" t="s">
        <v>1109</v>
      </c>
      <c r="D83" s="346" t="s">
        <v>1843</v>
      </c>
      <c r="E83" s="349" t="s">
        <v>1774</v>
      </c>
      <c r="F83" s="350" t="s">
        <v>308</v>
      </c>
      <c r="G83" s="350" t="s">
        <v>1198</v>
      </c>
      <c r="H83" s="351" t="s">
        <v>1988</v>
      </c>
      <c r="I83" s="352">
        <v>201400</v>
      </c>
      <c r="J83" s="352">
        <v>10070</v>
      </c>
      <c r="K83" s="352">
        <v>10070</v>
      </c>
      <c r="L83" s="352">
        <v>0</v>
      </c>
      <c r="M83" s="352">
        <v>0</v>
      </c>
      <c r="N83" s="363">
        <v>0</v>
      </c>
      <c r="O83" s="352">
        <f>+I83-(SUM(J83:N83))</f>
        <v>181260</v>
      </c>
    </row>
    <row r="84" spans="1:16" s="353" customFormat="1" x14ac:dyDescent="0.2">
      <c r="A84" s="356" t="s">
        <v>19</v>
      </c>
      <c r="B84" s="357"/>
      <c r="C84" s="358"/>
      <c r="D84" s="359"/>
      <c r="E84" s="356"/>
      <c r="F84" s="360"/>
      <c r="G84" s="360"/>
      <c r="H84" s="361"/>
      <c r="I84" s="362">
        <f>SUM(I85:I102)</f>
        <v>5890279.04</v>
      </c>
      <c r="J84" s="362">
        <f t="shared" ref="J84:O84" si="11">SUM(J85:J102)</f>
        <v>360146.95</v>
      </c>
      <c r="K84" s="362">
        <f t="shared" si="11"/>
        <v>360146.95</v>
      </c>
      <c r="L84" s="362">
        <f t="shared" si="11"/>
        <v>0</v>
      </c>
      <c r="M84" s="362">
        <f t="shared" si="11"/>
        <v>0</v>
      </c>
      <c r="N84" s="362">
        <f t="shared" si="11"/>
        <v>0</v>
      </c>
      <c r="O84" s="362">
        <f t="shared" si="11"/>
        <v>5169985.1400000006</v>
      </c>
    </row>
    <row r="85" spans="1:16" s="353" customFormat="1" ht="187.5" x14ac:dyDescent="0.2">
      <c r="A85" s="346">
        <v>1</v>
      </c>
      <c r="B85" s="347" t="s">
        <v>1623</v>
      </c>
      <c r="C85" s="348" t="s">
        <v>1627</v>
      </c>
      <c r="D85" s="346" t="s">
        <v>1628</v>
      </c>
      <c r="E85" s="349" t="s">
        <v>199</v>
      </c>
      <c r="F85" s="350" t="s">
        <v>19</v>
      </c>
      <c r="G85" s="350" t="s">
        <v>1063</v>
      </c>
      <c r="H85" s="351" t="s">
        <v>1989</v>
      </c>
      <c r="I85" s="352">
        <v>275000</v>
      </c>
      <c r="J85" s="352">
        <v>13750</v>
      </c>
      <c r="K85" s="352">
        <v>13750</v>
      </c>
      <c r="L85" s="352">
        <v>0</v>
      </c>
      <c r="M85" s="352">
        <v>0</v>
      </c>
      <c r="N85" s="352">
        <v>0</v>
      </c>
      <c r="O85" s="352">
        <f t="shared" ref="O85:O102" si="12">+I85-(SUM(J85:N85))</f>
        <v>247500</v>
      </c>
    </row>
    <row r="86" spans="1:16" s="353" customFormat="1" ht="112.5" x14ac:dyDescent="0.2">
      <c r="A86" s="346">
        <v>2</v>
      </c>
      <c r="B86" s="347" t="s">
        <v>1634</v>
      </c>
      <c r="C86" s="348" t="s">
        <v>1635</v>
      </c>
      <c r="D86" s="346" t="s">
        <v>1636</v>
      </c>
      <c r="E86" s="349" t="s">
        <v>963</v>
      </c>
      <c r="F86" s="350" t="s">
        <v>19</v>
      </c>
      <c r="G86" s="350" t="s">
        <v>964</v>
      </c>
      <c r="H86" s="351" t="s">
        <v>1990</v>
      </c>
      <c r="I86" s="352">
        <v>285000</v>
      </c>
      <c r="J86" s="352">
        <v>14250</v>
      </c>
      <c r="K86" s="352">
        <v>14250</v>
      </c>
      <c r="L86" s="352">
        <v>0</v>
      </c>
      <c r="M86" s="352">
        <v>0</v>
      </c>
      <c r="N86" s="352">
        <v>0</v>
      </c>
      <c r="O86" s="352">
        <f t="shared" si="12"/>
        <v>256500</v>
      </c>
    </row>
    <row r="87" spans="1:16" s="353" customFormat="1" ht="117" customHeight="1" x14ac:dyDescent="0.2">
      <c r="A87" s="346">
        <v>3</v>
      </c>
      <c r="B87" s="347" t="s">
        <v>1634</v>
      </c>
      <c r="C87" s="348" t="s">
        <v>1637</v>
      </c>
      <c r="D87" s="346" t="s">
        <v>1636</v>
      </c>
      <c r="E87" s="349" t="s">
        <v>963</v>
      </c>
      <c r="F87" s="350" t="s">
        <v>19</v>
      </c>
      <c r="G87" s="350" t="s">
        <v>964</v>
      </c>
      <c r="H87" s="351" t="s">
        <v>1991</v>
      </c>
      <c r="I87" s="352">
        <v>15000</v>
      </c>
      <c r="J87" s="352">
        <v>750</v>
      </c>
      <c r="K87" s="352">
        <v>750</v>
      </c>
      <c r="L87" s="352">
        <v>0</v>
      </c>
      <c r="M87" s="352">
        <v>0</v>
      </c>
      <c r="N87" s="352">
        <v>0</v>
      </c>
      <c r="O87" s="352">
        <f t="shared" si="12"/>
        <v>13500</v>
      </c>
    </row>
    <row r="88" spans="1:16" s="353" customFormat="1" ht="112.5" x14ac:dyDescent="0.2">
      <c r="A88" s="346">
        <v>4</v>
      </c>
      <c r="B88" s="347" t="s">
        <v>1652</v>
      </c>
      <c r="C88" s="348" t="s">
        <v>1653</v>
      </c>
      <c r="D88" s="346" t="s">
        <v>1654</v>
      </c>
      <c r="E88" s="349" t="s">
        <v>1655</v>
      </c>
      <c r="F88" s="350" t="s">
        <v>19</v>
      </c>
      <c r="G88" s="350" t="s">
        <v>1656</v>
      </c>
      <c r="H88" s="351" t="s">
        <v>1992</v>
      </c>
      <c r="I88" s="352">
        <v>60000</v>
      </c>
      <c r="J88" s="352">
        <v>4800</v>
      </c>
      <c r="K88" s="352">
        <v>4800</v>
      </c>
      <c r="L88" s="352">
        <v>0</v>
      </c>
      <c r="M88" s="352">
        <v>0</v>
      </c>
      <c r="N88" s="352">
        <v>0</v>
      </c>
      <c r="O88" s="352">
        <f t="shared" si="12"/>
        <v>50400</v>
      </c>
    </row>
    <row r="89" spans="1:16" s="353" customFormat="1" ht="93.75" x14ac:dyDescent="0.2">
      <c r="A89" s="346">
        <v>5</v>
      </c>
      <c r="B89" s="347" t="s">
        <v>1674</v>
      </c>
      <c r="C89" s="348" t="s">
        <v>1675</v>
      </c>
      <c r="D89" s="346" t="s">
        <v>1676</v>
      </c>
      <c r="E89" s="349" t="s">
        <v>963</v>
      </c>
      <c r="F89" s="350" t="s">
        <v>19</v>
      </c>
      <c r="G89" s="350" t="s">
        <v>1677</v>
      </c>
      <c r="H89" s="351" t="s">
        <v>1993</v>
      </c>
      <c r="I89" s="352">
        <v>500000</v>
      </c>
      <c r="J89" s="352">
        <v>40000</v>
      </c>
      <c r="K89" s="352">
        <v>40000</v>
      </c>
      <c r="L89" s="352">
        <v>0</v>
      </c>
      <c r="M89" s="352">
        <v>0</v>
      </c>
      <c r="N89" s="352">
        <v>0</v>
      </c>
      <c r="O89" s="352">
        <f t="shared" si="12"/>
        <v>420000</v>
      </c>
    </row>
    <row r="90" spans="1:16" s="353" customFormat="1" ht="112.5" x14ac:dyDescent="0.2">
      <c r="A90" s="346">
        <v>6</v>
      </c>
      <c r="B90" s="347" t="s">
        <v>1694</v>
      </c>
      <c r="C90" s="348" t="s">
        <v>1695</v>
      </c>
      <c r="D90" s="346" t="s">
        <v>1696</v>
      </c>
      <c r="E90" s="349" t="s">
        <v>963</v>
      </c>
      <c r="F90" s="350" t="s">
        <v>19</v>
      </c>
      <c r="G90" s="350" t="s">
        <v>964</v>
      </c>
      <c r="H90" s="351" t="s">
        <v>1994</v>
      </c>
      <c r="I90" s="352">
        <v>15000</v>
      </c>
      <c r="J90" s="352">
        <v>750</v>
      </c>
      <c r="K90" s="352">
        <v>750</v>
      </c>
      <c r="L90" s="352">
        <v>0</v>
      </c>
      <c r="M90" s="352">
        <v>0</v>
      </c>
      <c r="N90" s="352">
        <v>0</v>
      </c>
      <c r="O90" s="352">
        <f t="shared" si="12"/>
        <v>13500</v>
      </c>
    </row>
    <row r="91" spans="1:16" s="353" customFormat="1" ht="112.5" x14ac:dyDescent="0.2">
      <c r="A91" s="346">
        <v>7</v>
      </c>
      <c r="B91" s="347" t="s">
        <v>1694</v>
      </c>
      <c r="C91" s="348" t="s">
        <v>1697</v>
      </c>
      <c r="D91" s="346" t="s">
        <v>1696</v>
      </c>
      <c r="E91" s="349" t="s">
        <v>963</v>
      </c>
      <c r="F91" s="350" t="s">
        <v>19</v>
      </c>
      <c r="G91" s="350" t="s">
        <v>964</v>
      </c>
      <c r="H91" s="351" t="s">
        <v>1995</v>
      </c>
      <c r="I91" s="352">
        <v>22500</v>
      </c>
      <c r="J91" s="352">
        <v>1125</v>
      </c>
      <c r="K91" s="352">
        <v>1125</v>
      </c>
      <c r="L91" s="352">
        <v>0</v>
      </c>
      <c r="M91" s="352">
        <v>0</v>
      </c>
      <c r="N91" s="352">
        <v>0</v>
      </c>
      <c r="O91" s="352">
        <f t="shared" si="12"/>
        <v>20250</v>
      </c>
    </row>
    <row r="92" spans="1:16" s="354" customFormat="1" ht="20.100000000000001" customHeight="1" x14ac:dyDescent="0.4">
      <c r="A92" s="346">
        <v>8</v>
      </c>
      <c r="B92" s="347" t="s">
        <v>1694</v>
      </c>
      <c r="C92" s="348" t="s">
        <v>1698</v>
      </c>
      <c r="D92" s="346" t="s">
        <v>1696</v>
      </c>
      <c r="E92" s="349" t="s">
        <v>963</v>
      </c>
      <c r="F92" s="350" t="s">
        <v>19</v>
      </c>
      <c r="G92" s="350" t="s">
        <v>964</v>
      </c>
      <c r="H92" s="351" t="s">
        <v>1996</v>
      </c>
      <c r="I92" s="352">
        <v>22500</v>
      </c>
      <c r="J92" s="352">
        <v>1125</v>
      </c>
      <c r="K92" s="352">
        <v>1125</v>
      </c>
      <c r="L92" s="352">
        <v>0</v>
      </c>
      <c r="M92" s="352">
        <v>0</v>
      </c>
      <c r="N92" s="352">
        <v>0</v>
      </c>
      <c r="O92" s="352">
        <f t="shared" si="12"/>
        <v>20250</v>
      </c>
      <c r="P92" s="353"/>
    </row>
    <row r="93" spans="1:16" s="353" customFormat="1" ht="115.5" customHeight="1" x14ac:dyDescent="0.2">
      <c r="A93" s="346">
        <v>9</v>
      </c>
      <c r="B93" s="347" t="s">
        <v>1749</v>
      </c>
      <c r="C93" s="348" t="s">
        <v>1750</v>
      </c>
      <c r="D93" s="346" t="s">
        <v>1751</v>
      </c>
      <c r="E93" s="349" t="s">
        <v>199</v>
      </c>
      <c r="F93" s="350" t="s">
        <v>19</v>
      </c>
      <c r="G93" s="350" t="s">
        <v>1752</v>
      </c>
      <c r="H93" s="351" t="s">
        <v>1997</v>
      </c>
      <c r="I93" s="352">
        <v>855000</v>
      </c>
      <c r="J93" s="352">
        <v>68400</v>
      </c>
      <c r="K93" s="352">
        <v>68400</v>
      </c>
      <c r="L93" s="352">
        <v>0</v>
      </c>
      <c r="M93" s="352">
        <v>0</v>
      </c>
      <c r="N93" s="352">
        <v>0</v>
      </c>
      <c r="O93" s="352">
        <f t="shared" si="12"/>
        <v>718200</v>
      </c>
    </row>
    <row r="94" spans="1:16" s="353" customFormat="1" ht="117" customHeight="1" x14ac:dyDescent="0.2">
      <c r="A94" s="346">
        <v>10</v>
      </c>
      <c r="B94" s="347" t="s">
        <v>1764</v>
      </c>
      <c r="C94" s="348" t="s">
        <v>1767</v>
      </c>
      <c r="D94" s="346" t="s">
        <v>1768</v>
      </c>
      <c r="E94" s="349" t="s">
        <v>199</v>
      </c>
      <c r="F94" s="350" t="s">
        <v>19</v>
      </c>
      <c r="G94" s="350" t="s">
        <v>1752</v>
      </c>
      <c r="H94" s="351" t="s">
        <v>1998</v>
      </c>
      <c r="I94" s="352">
        <v>855000</v>
      </c>
      <c r="J94" s="352">
        <v>68400</v>
      </c>
      <c r="K94" s="352">
        <v>68400</v>
      </c>
      <c r="L94" s="352">
        <v>0</v>
      </c>
      <c r="M94" s="352">
        <v>0</v>
      </c>
      <c r="N94" s="352">
        <v>0</v>
      </c>
      <c r="O94" s="352">
        <f t="shared" si="12"/>
        <v>718200</v>
      </c>
    </row>
    <row r="95" spans="1:16" s="353" customFormat="1" ht="112.5" x14ac:dyDescent="0.2">
      <c r="A95" s="346">
        <v>11</v>
      </c>
      <c r="B95" s="347" t="s">
        <v>1775</v>
      </c>
      <c r="C95" s="348" t="s">
        <v>1776</v>
      </c>
      <c r="D95" s="346" t="s">
        <v>1777</v>
      </c>
      <c r="E95" s="349" t="s">
        <v>199</v>
      </c>
      <c r="F95" s="350" t="s">
        <v>19</v>
      </c>
      <c r="G95" s="350" t="s">
        <v>309</v>
      </c>
      <c r="H95" s="351" t="s">
        <v>1999</v>
      </c>
      <c r="I95" s="352">
        <v>285600</v>
      </c>
      <c r="J95" s="352">
        <v>22848</v>
      </c>
      <c r="K95" s="352">
        <v>22848</v>
      </c>
      <c r="L95" s="352">
        <v>0</v>
      </c>
      <c r="M95" s="352">
        <v>0</v>
      </c>
      <c r="N95" s="352">
        <v>0</v>
      </c>
      <c r="O95" s="352">
        <f t="shared" si="12"/>
        <v>239904</v>
      </c>
    </row>
    <row r="96" spans="1:16" s="353" customFormat="1" ht="187.5" x14ac:dyDescent="0.2">
      <c r="A96" s="346">
        <v>12</v>
      </c>
      <c r="B96" s="347" t="s">
        <v>1796</v>
      </c>
      <c r="C96" s="348" t="s">
        <v>1797</v>
      </c>
      <c r="D96" s="346" t="s">
        <v>1798</v>
      </c>
      <c r="E96" s="349" t="s">
        <v>1202</v>
      </c>
      <c r="F96" s="350" t="s">
        <v>19</v>
      </c>
      <c r="G96" s="350" t="s">
        <v>1799</v>
      </c>
      <c r="H96" s="351" t="s">
        <v>2000</v>
      </c>
      <c r="I96" s="352">
        <v>120300</v>
      </c>
      <c r="J96" s="352">
        <v>0</v>
      </c>
      <c r="K96" s="352">
        <v>0</v>
      </c>
      <c r="L96" s="352">
        <v>0</v>
      </c>
      <c r="M96" s="352">
        <v>0</v>
      </c>
      <c r="N96" s="355" t="s">
        <v>1786</v>
      </c>
      <c r="O96" s="352">
        <f t="shared" si="12"/>
        <v>120300</v>
      </c>
    </row>
    <row r="97" spans="1:15" s="353" customFormat="1" ht="187.5" x14ac:dyDescent="0.2">
      <c r="A97" s="346">
        <v>13</v>
      </c>
      <c r="B97" s="347" t="s">
        <v>1817</v>
      </c>
      <c r="C97" s="348" t="s">
        <v>1818</v>
      </c>
      <c r="D97" s="346" t="s">
        <v>1819</v>
      </c>
      <c r="E97" s="349" t="s">
        <v>1044</v>
      </c>
      <c r="F97" s="350" t="s">
        <v>19</v>
      </c>
      <c r="G97" s="350" t="s">
        <v>1045</v>
      </c>
      <c r="H97" s="351" t="s">
        <v>2001</v>
      </c>
      <c r="I97" s="352">
        <f>+(80576+60432)-32028.96</f>
        <v>108979.04000000001</v>
      </c>
      <c r="J97" s="352">
        <v>5448.95</v>
      </c>
      <c r="K97" s="352">
        <v>5448.95</v>
      </c>
      <c r="L97" s="352">
        <v>0</v>
      </c>
      <c r="M97" s="352">
        <v>0</v>
      </c>
      <c r="N97" s="352">
        <v>0</v>
      </c>
      <c r="O97" s="352">
        <f t="shared" si="12"/>
        <v>98081.140000000014</v>
      </c>
    </row>
    <row r="98" spans="1:15" s="353" customFormat="1" ht="206.25" x14ac:dyDescent="0.2">
      <c r="A98" s="346">
        <v>14</v>
      </c>
      <c r="B98" s="347" t="s">
        <v>1820</v>
      </c>
      <c r="C98" s="348" t="s">
        <v>1823</v>
      </c>
      <c r="D98" s="346" t="s">
        <v>1824</v>
      </c>
      <c r="E98" s="349" t="s">
        <v>335</v>
      </c>
      <c r="F98" s="350" t="s">
        <v>19</v>
      </c>
      <c r="G98" s="350" t="s">
        <v>1825</v>
      </c>
      <c r="H98" s="351" t="s">
        <v>2002</v>
      </c>
      <c r="I98" s="352">
        <f>45000+855000</f>
        <v>900000</v>
      </c>
      <c r="J98" s="352">
        <v>22500</v>
      </c>
      <c r="K98" s="352">
        <v>22500</v>
      </c>
      <c r="L98" s="352">
        <v>0</v>
      </c>
      <c r="M98" s="352">
        <v>0</v>
      </c>
      <c r="N98" s="352">
        <v>0</v>
      </c>
      <c r="O98" s="352">
        <f t="shared" si="12"/>
        <v>855000</v>
      </c>
    </row>
    <row r="99" spans="1:15" s="353" customFormat="1" ht="187.5" x14ac:dyDescent="0.2">
      <c r="A99" s="346">
        <v>15</v>
      </c>
      <c r="B99" s="347">
        <v>243161</v>
      </c>
      <c r="C99" s="348" t="s">
        <v>1109</v>
      </c>
      <c r="D99" s="346" t="s">
        <v>1836</v>
      </c>
      <c r="E99" s="349" t="s">
        <v>1202</v>
      </c>
      <c r="F99" s="350" t="s">
        <v>19</v>
      </c>
      <c r="G99" s="350" t="s">
        <v>1799</v>
      </c>
      <c r="H99" s="351" t="s">
        <v>2003</v>
      </c>
      <c r="I99" s="352">
        <v>180000</v>
      </c>
      <c r="J99" s="352">
        <v>0</v>
      </c>
      <c r="K99" s="352">
        <v>0</v>
      </c>
      <c r="L99" s="352">
        <v>0</v>
      </c>
      <c r="M99" s="352">
        <v>0</v>
      </c>
      <c r="N99" s="355" t="s">
        <v>1837</v>
      </c>
      <c r="O99" s="352">
        <f t="shared" si="12"/>
        <v>180000</v>
      </c>
    </row>
    <row r="100" spans="1:15" s="353" customFormat="1" ht="112.5" x14ac:dyDescent="0.2">
      <c r="A100" s="346">
        <v>16</v>
      </c>
      <c r="B100" s="347">
        <v>243161</v>
      </c>
      <c r="C100" s="348" t="s">
        <v>1109</v>
      </c>
      <c r="D100" s="346" t="s">
        <v>1844</v>
      </c>
      <c r="E100" s="349" t="s">
        <v>199</v>
      </c>
      <c r="F100" s="350" t="s">
        <v>19</v>
      </c>
      <c r="G100" s="350" t="s">
        <v>309</v>
      </c>
      <c r="H100" s="351" t="s">
        <v>2004</v>
      </c>
      <c r="I100" s="352">
        <v>190400</v>
      </c>
      <c r="J100" s="352">
        <v>0</v>
      </c>
      <c r="K100" s="352">
        <v>0</v>
      </c>
      <c r="L100" s="352">
        <v>0</v>
      </c>
      <c r="M100" s="352">
        <v>0</v>
      </c>
      <c r="N100" s="355" t="s">
        <v>1845</v>
      </c>
      <c r="O100" s="352">
        <f t="shared" si="12"/>
        <v>190400</v>
      </c>
    </row>
    <row r="101" spans="1:15" s="353" customFormat="1" ht="115.5" customHeight="1" x14ac:dyDescent="0.2">
      <c r="A101" s="346">
        <v>17</v>
      </c>
      <c r="B101" s="347">
        <v>243161</v>
      </c>
      <c r="C101" s="348" t="s">
        <v>1109</v>
      </c>
      <c r="D101" s="346" t="s">
        <v>1847</v>
      </c>
      <c r="E101" s="349" t="s">
        <v>199</v>
      </c>
      <c r="F101" s="350" t="s">
        <v>19</v>
      </c>
      <c r="G101" s="350" t="s">
        <v>1752</v>
      </c>
      <c r="H101" s="351" t="s">
        <v>2005</v>
      </c>
      <c r="I101" s="352">
        <v>1140000</v>
      </c>
      <c r="J101" s="352">
        <v>91200</v>
      </c>
      <c r="K101" s="352">
        <v>91200</v>
      </c>
      <c r="L101" s="352">
        <v>0</v>
      </c>
      <c r="M101" s="352">
        <v>0</v>
      </c>
      <c r="N101" s="352">
        <v>0</v>
      </c>
      <c r="O101" s="352">
        <f t="shared" si="12"/>
        <v>957600</v>
      </c>
    </row>
    <row r="102" spans="1:15" s="353" customFormat="1" ht="132.75" customHeight="1" x14ac:dyDescent="0.2">
      <c r="A102" s="346">
        <v>18</v>
      </c>
      <c r="B102" s="347">
        <v>243161</v>
      </c>
      <c r="C102" s="348" t="s">
        <v>1109</v>
      </c>
      <c r="D102" s="346" t="s">
        <v>1847</v>
      </c>
      <c r="E102" s="349" t="s">
        <v>199</v>
      </c>
      <c r="F102" s="350" t="s">
        <v>19</v>
      </c>
      <c r="G102" s="350" t="s">
        <v>1752</v>
      </c>
      <c r="H102" s="351" t="s">
        <v>2006</v>
      </c>
      <c r="I102" s="352">
        <v>60000</v>
      </c>
      <c r="J102" s="352">
        <v>4800</v>
      </c>
      <c r="K102" s="352">
        <v>4800</v>
      </c>
      <c r="L102" s="352">
        <v>0</v>
      </c>
      <c r="M102" s="352">
        <v>0</v>
      </c>
      <c r="N102" s="352">
        <v>0</v>
      </c>
      <c r="O102" s="352">
        <f t="shared" si="12"/>
        <v>50400</v>
      </c>
    </row>
    <row r="103" spans="1:15" s="353" customFormat="1" x14ac:dyDescent="0.2">
      <c r="A103" s="356" t="s">
        <v>1067</v>
      </c>
      <c r="B103" s="357"/>
      <c r="C103" s="358"/>
      <c r="D103" s="359"/>
      <c r="E103" s="356"/>
      <c r="F103" s="360"/>
      <c r="G103" s="360"/>
      <c r="H103" s="361"/>
      <c r="I103" s="362">
        <f t="shared" ref="I103:O103" si="13">SUM(I104:I119)</f>
        <v>4608282</v>
      </c>
      <c r="J103" s="362">
        <f t="shared" si="13"/>
        <v>298486</v>
      </c>
      <c r="K103" s="362">
        <f t="shared" si="13"/>
        <v>298486</v>
      </c>
      <c r="L103" s="362">
        <f t="shared" si="13"/>
        <v>0</v>
      </c>
      <c r="M103" s="362">
        <f t="shared" si="13"/>
        <v>0</v>
      </c>
      <c r="N103" s="362">
        <f t="shared" si="13"/>
        <v>0</v>
      </c>
      <c r="O103" s="362">
        <f t="shared" si="13"/>
        <v>4011310</v>
      </c>
    </row>
    <row r="104" spans="1:15" s="353" customFormat="1" ht="75" x14ac:dyDescent="0.2">
      <c r="A104" s="346">
        <v>1</v>
      </c>
      <c r="B104" s="347">
        <v>242821</v>
      </c>
      <c r="C104" s="348" t="s">
        <v>895</v>
      </c>
      <c r="D104" s="346" t="s">
        <v>896</v>
      </c>
      <c r="E104" s="349" t="s">
        <v>897</v>
      </c>
      <c r="F104" s="350" t="s">
        <v>117</v>
      </c>
      <c r="G104" s="350" t="s">
        <v>898</v>
      </c>
      <c r="H104" s="351" t="s">
        <v>2007</v>
      </c>
      <c r="I104" s="352">
        <v>60000</v>
      </c>
      <c r="J104" s="352">
        <v>4800</v>
      </c>
      <c r="K104" s="352">
        <v>4800</v>
      </c>
      <c r="L104" s="352">
        <v>0</v>
      </c>
      <c r="M104" s="352">
        <v>0</v>
      </c>
      <c r="N104" s="352">
        <v>0</v>
      </c>
      <c r="O104" s="352">
        <f t="shared" ref="O104:O119" si="14">+I104-(SUM(J104:N104))</f>
        <v>50400</v>
      </c>
    </row>
    <row r="105" spans="1:15" s="353" customFormat="1" ht="93.75" x14ac:dyDescent="0.2">
      <c r="A105" s="346">
        <v>2</v>
      </c>
      <c r="B105" s="347">
        <v>242824</v>
      </c>
      <c r="C105" s="348" t="s">
        <v>899</v>
      </c>
      <c r="D105" s="346" t="s">
        <v>900</v>
      </c>
      <c r="E105" s="349" t="s">
        <v>115</v>
      </c>
      <c r="F105" s="350" t="s">
        <v>117</v>
      </c>
      <c r="G105" s="350" t="s">
        <v>326</v>
      </c>
      <c r="H105" s="351" t="s">
        <v>901</v>
      </c>
      <c r="I105" s="352">
        <v>110000</v>
      </c>
      <c r="J105" s="352">
        <v>5500</v>
      </c>
      <c r="K105" s="352">
        <v>5500</v>
      </c>
      <c r="L105" s="352">
        <v>0</v>
      </c>
      <c r="M105" s="352">
        <v>0</v>
      </c>
      <c r="N105" s="352">
        <v>0</v>
      </c>
      <c r="O105" s="352">
        <f t="shared" si="14"/>
        <v>99000</v>
      </c>
    </row>
    <row r="106" spans="1:15" s="353" customFormat="1" ht="93.75" x14ac:dyDescent="0.2">
      <c r="A106" s="346">
        <v>3</v>
      </c>
      <c r="B106" s="347" t="s">
        <v>902</v>
      </c>
      <c r="C106" s="348" t="s">
        <v>903</v>
      </c>
      <c r="D106" s="346" t="s">
        <v>904</v>
      </c>
      <c r="E106" s="349" t="s">
        <v>115</v>
      </c>
      <c r="F106" s="350" t="s">
        <v>117</v>
      </c>
      <c r="G106" s="350" t="s">
        <v>544</v>
      </c>
      <c r="H106" s="351" t="s">
        <v>901</v>
      </c>
      <c r="I106" s="352">
        <f>359000+49000</f>
        <v>408000</v>
      </c>
      <c r="J106" s="352">
        <f>17950+2450</f>
        <v>20400</v>
      </c>
      <c r="K106" s="352">
        <f>17950+2450</f>
        <v>20400</v>
      </c>
      <c r="L106" s="352">
        <v>0</v>
      </c>
      <c r="M106" s="352">
        <v>0</v>
      </c>
      <c r="N106" s="352">
        <v>0</v>
      </c>
      <c r="O106" s="352">
        <f t="shared" si="14"/>
        <v>367200</v>
      </c>
    </row>
    <row r="107" spans="1:15" s="353" customFormat="1" ht="93.75" x14ac:dyDescent="0.2">
      <c r="A107" s="346">
        <v>4</v>
      </c>
      <c r="B107" s="347" t="s">
        <v>1623</v>
      </c>
      <c r="C107" s="348" t="s">
        <v>1629</v>
      </c>
      <c r="D107" s="346" t="s">
        <v>1630</v>
      </c>
      <c r="E107" s="349" t="s">
        <v>115</v>
      </c>
      <c r="F107" s="350" t="s">
        <v>117</v>
      </c>
      <c r="G107" s="350" t="s">
        <v>441</v>
      </c>
      <c r="H107" s="351" t="s">
        <v>2008</v>
      </c>
      <c r="I107" s="352">
        <f>1000+1250+850</f>
        <v>3100</v>
      </c>
      <c r="J107" s="352">
        <v>0</v>
      </c>
      <c r="K107" s="352">
        <v>0</v>
      </c>
      <c r="L107" s="352">
        <v>0</v>
      </c>
      <c r="M107" s="352">
        <v>0</v>
      </c>
      <c r="N107" s="355" t="s">
        <v>1631</v>
      </c>
      <c r="O107" s="352">
        <f t="shared" si="14"/>
        <v>3100</v>
      </c>
    </row>
    <row r="108" spans="1:15" s="353" customFormat="1" ht="93.75" x14ac:dyDescent="0.2">
      <c r="A108" s="346">
        <v>5</v>
      </c>
      <c r="B108" s="347" t="s">
        <v>1623</v>
      </c>
      <c r="C108" s="348" t="s">
        <v>1632</v>
      </c>
      <c r="D108" s="346" t="s">
        <v>1633</v>
      </c>
      <c r="E108" s="349" t="s">
        <v>115</v>
      </c>
      <c r="F108" s="350" t="s">
        <v>117</v>
      </c>
      <c r="G108" s="350" t="s">
        <v>551</v>
      </c>
      <c r="H108" s="351" t="s">
        <v>901</v>
      </c>
      <c r="I108" s="352">
        <f>418000+70000</f>
        <v>488000</v>
      </c>
      <c r="J108" s="352">
        <f>20900+3500</f>
        <v>24400</v>
      </c>
      <c r="K108" s="352">
        <f>20900+3500</f>
        <v>24400</v>
      </c>
      <c r="L108" s="352">
        <v>0</v>
      </c>
      <c r="M108" s="352">
        <v>0</v>
      </c>
      <c r="N108" s="352">
        <v>0</v>
      </c>
      <c r="O108" s="352">
        <f t="shared" si="14"/>
        <v>439200</v>
      </c>
    </row>
    <row r="109" spans="1:15" s="353" customFormat="1" ht="93.75" x14ac:dyDescent="0.2">
      <c r="A109" s="346">
        <v>6</v>
      </c>
      <c r="B109" s="347" t="s">
        <v>1638</v>
      </c>
      <c r="C109" s="348" t="s">
        <v>1639</v>
      </c>
      <c r="D109" s="346" t="s">
        <v>1640</v>
      </c>
      <c r="E109" s="349" t="s">
        <v>115</v>
      </c>
      <c r="F109" s="350" t="s">
        <v>117</v>
      </c>
      <c r="G109" s="350" t="s">
        <v>318</v>
      </c>
      <c r="H109" s="351" t="s">
        <v>2008</v>
      </c>
      <c r="I109" s="352">
        <v>1250</v>
      </c>
      <c r="J109" s="352">
        <v>0</v>
      </c>
      <c r="K109" s="352">
        <v>0</v>
      </c>
      <c r="L109" s="352">
        <v>0</v>
      </c>
      <c r="M109" s="352">
        <v>0</v>
      </c>
      <c r="N109" s="355" t="s">
        <v>1631</v>
      </c>
      <c r="O109" s="352">
        <f t="shared" si="14"/>
        <v>1250</v>
      </c>
    </row>
    <row r="110" spans="1:15" s="353" customFormat="1" ht="93.75" x14ac:dyDescent="0.2">
      <c r="A110" s="346">
        <v>7</v>
      </c>
      <c r="B110" s="347" t="s">
        <v>1638</v>
      </c>
      <c r="C110" s="348" t="s">
        <v>1641</v>
      </c>
      <c r="D110" s="346" t="s">
        <v>1642</v>
      </c>
      <c r="E110" s="349" t="s">
        <v>115</v>
      </c>
      <c r="F110" s="350" t="s">
        <v>117</v>
      </c>
      <c r="G110" s="350" t="s">
        <v>444</v>
      </c>
      <c r="H110" s="351" t="s">
        <v>901</v>
      </c>
      <c r="I110" s="352">
        <v>107000</v>
      </c>
      <c r="J110" s="352">
        <v>5350</v>
      </c>
      <c r="K110" s="352">
        <v>5350</v>
      </c>
      <c r="L110" s="352">
        <v>0</v>
      </c>
      <c r="M110" s="352">
        <v>0</v>
      </c>
      <c r="N110" s="352">
        <v>0</v>
      </c>
      <c r="O110" s="352">
        <f t="shared" si="14"/>
        <v>96300</v>
      </c>
    </row>
    <row r="111" spans="1:15" s="353" customFormat="1" ht="131.25" x14ac:dyDescent="0.2">
      <c r="A111" s="346">
        <v>8</v>
      </c>
      <c r="B111" s="347" t="s">
        <v>1643</v>
      </c>
      <c r="C111" s="348" t="s">
        <v>1644</v>
      </c>
      <c r="D111" s="346" t="s">
        <v>1645</v>
      </c>
      <c r="E111" s="349" t="s">
        <v>302</v>
      </c>
      <c r="F111" s="350" t="s">
        <v>117</v>
      </c>
      <c r="G111" s="350" t="s">
        <v>444</v>
      </c>
      <c r="H111" s="351" t="s">
        <v>1024</v>
      </c>
      <c r="I111" s="352">
        <f>48000+24000</f>
        <v>72000</v>
      </c>
      <c r="J111" s="352">
        <f>2400+1200</f>
        <v>3600</v>
      </c>
      <c r="K111" s="352">
        <f>2400+1200</f>
        <v>3600</v>
      </c>
      <c r="L111" s="352">
        <v>0</v>
      </c>
      <c r="M111" s="352">
        <v>0</v>
      </c>
      <c r="N111" s="352">
        <v>0</v>
      </c>
      <c r="O111" s="352">
        <f t="shared" si="14"/>
        <v>64800</v>
      </c>
    </row>
    <row r="112" spans="1:15" s="353" customFormat="1" ht="93.75" x14ac:dyDescent="0.2">
      <c r="A112" s="346">
        <v>9</v>
      </c>
      <c r="B112" s="347" t="s">
        <v>1646</v>
      </c>
      <c r="C112" s="348" t="s">
        <v>1647</v>
      </c>
      <c r="D112" s="346" t="s">
        <v>1648</v>
      </c>
      <c r="E112" s="349" t="s">
        <v>115</v>
      </c>
      <c r="F112" s="350" t="s">
        <v>117</v>
      </c>
      <c r="G112" s="350" t="s">
        <v>303</v>
      </c>
      <c r="H112" s="351" t="s">
        <v>901</v>
      </c>
      <c r="I112" s="352">
        <v>50000</v>
      </c>
      <c r="J112" s="352">
        <v>2500</v>
      </c>
      <c r="K112" s="352">
        <v>2500</v>
      </c>
      <c r="L112" s="352">
        <v>0</v>
      </c>
      <c r="M112" s="352">
        <v>0</v>
      </c>
      <c r="N112" s="352">
        <v>0</v>
      </c>
      <c r="O112" s="352">
        <f t="shared" si="14"/>
        <v>45000</v>
      </c>
    </row>
    <row r="113" spans="1:15" s="353" customFormat="1" ht="93.75" x14ac:dyDescent="0.2">
      <c r="A113" s="346">
        <v>10</v>
      </c>
      <c r="B113" s="347" t="s">
        <v>1764</v>
      </c>
      <c r="C113" s="348" t="s">
        <v>903</v>
      </c>
      <c r="D113" s="346" t="s">
        <v>1765</v>
      </c>
      <c r="E113" s="349" t="s">
        <v>115</v>
      </c>
      <c r="F113" s="350" t="s">
        <v>117</v>
      </c>
      <c r="G113" s="350" t="s">
        <v>318</v>
      </c>
      <c r="H113" s="351" t="s">
        <v>1766</v>
      </c>
      <c r="I113" s="352">
        <v>20000</v>
      </c>
      <c r="J113" s="352">
        <v>1600</v>
      </c>
      <c r="K113" s="352">
        <v>1600</v>
      </c>
      <c r="L113" s="352">
        <v>0</v>
      </c>
      <c r="M113" s="352">
        <v>0</v>
      </c>
      <c r="N113" s="352">
        <v>0</v>
      </c>
      <c r="O113" s="352">
        <f t="shared" si="14"/>
        <v>16800</v>
      </c>
    </row>
    <row r="114" spans="1:15" s="353" customFormat="1" ht="187.5" x14ac:dyDescent="0.2">
      <c r="A114" s="346">
        <v>11</v>
      </c>
      <c r="B114" s="347" t="s">
        <v>1782</v>
      </c>
      <c r="C114" s="348" t="s">
        <v>1783</v>
      </c>
      <c r="D114" s="346" t="s">
        <v>1784</v>
      </c>
      <c r="E114" s="349" t="s">
        <v>1785</v>
      </c>
      <c r="F114" s="350" t="s">
        <v>117</v>
      </c>
      <c r="G114" s="350" t="s">
        <v>930</v>
      </c>
      <c r="H114" s="351" t="s">
        <v>2009</v>
      </c>
      <c r="I114" s="352">
        <v>407140</v>
      </c>
      <c r="J114" s="352"/>
      <c r="K114" s="352">
        <v>0</v>
      </c>
      <c r="L114" s="352">
        <v>0</v>
      </c>
      <c r="M114" s="352">
        <v>0</v>
      </c>
      <c r="N114" s="355" t="s">
        <v>1786</v>
      </c>
      <c r="O114" s="352">
        <f t="shared" si="14"/>
        <v>407140</v>
      </c>
    </row>
    <row r="115" spans="1:15" s="353" customFormat="1" ht="93.75" x14ac:dyDescent="0.2">
      <c r="A115" s="346">
        <v>12</v>
      </c>
      <c r="B115" s="347" t="s">
        <v>1796</v>
      </c>
      <c r="C115" s="348" t="s">
        <v>1800</v>
      </c>
      <c r="D115" s="346" t="s">
        <v>1801</v>
      </c>
      <c r="E115" s="349" t="s">
        <v>1802</v>
      </c>
      <c r="F115" s="350" t="s">
        <v>1067</v>
      </c>
      <c r="G115" s="350" t="s">
        <v>1803</v>
      </c>
      <c r="H115" s="351" t="s">
        <v>2010</v>
      </c>
      <c r="I115" s="352">
        <v>18792</v>
      </c>
      <c r="J115" s="352">
        <v>1296</v>
      </c>
      <c r="K115" s="352">
        <v>1296</v>
      </c>
      <c r="L115" s="352">
        <v>0</v>
      </c>
      <c r="M115" s="352">
        <v>0</v>
      </c>
      <c r="N115" s="352">
        <v>0</v>
      </c>
      <c r="O115" s="352">
        <f>+I115-(SUM(J115:N115))</f>
        <v>16200</v>
      </c>
    </row>
    <row r="116" spans="1:15" s="353" customFormat="1" ht="77.25" customHeight="1" x14ac:dyDescent="0.2">
      <c r="A116" s="346">
        <v>13</v>
      </c>
      <c r="B116" s="347" t="s">
        <v>1811</v>
      </c>
      <c r="C116" s="348" t="s">
        <v>1812</v>
      </c>
      <c r="D116" s="346" t="s">
        <v>1813</v>
      </c>
      <c r="E116" s="349" t="s">
        <v>115</v>
      </c>
      <c r="F116" s="350" t="s">
        <v>117</v>
      </c>
      <c r="G116" s="350" t="s">
        <v>318</v>
      </c>
      <c r="H116" s="351" t="s">
        <v>1766</v>
      </c>
      <c r="I116" s="352">
        <v>19000</v>
      </c>
      <c r="J116" s="352">
        <v>1520</v>
      </c>
      <c r="K116" s="352">
        <v>1520</v>
      </c>
      <c r="L116" s="352">
        <v>0</v>
      </c>
      <c r="M116" s="352">
        <v>0</v>
      </c>
      <c r="N116" s="352">
        <v>0</v>
      </c>
      <c r="O116" s="352">
        <f t="shared" si="14"/>
        <v>15960</v>
      </c>
    </row>
    <row r="117" spans="1:15" s="353" customFormat="1" ht="78" customHeight="1" x14ac:dyDescent="0.2">
      <c r="A117" s="346">
        <v>14</v>
      </c>
      <c r="B117" s="347" t="s">
        <v>1829</v>
      </c>
      <c r="C117" s="348" t="s">
        <v>1812</v>
      </c>
      <c r="D117" s="346" t="s">
        <v>1834</v>
      </c>
      <c r="E117" s="349" t="s">
        <v>115</v>
      </c>
      <c r="F117" s="350" t="s">
        <v>117</v>
      </c>
      <c r="G117" s="350" t="s">
        <v>1835</v>
      </c>
      <c r="H117" s="351" t="s">
        <v>1766</v>
      </c>
      <c r="I117" s="352">
        <f>468000+20000</f>
        <v>488000</v>
      </c>
      <c r="J117" s="352">
        <v>39040</v>
      </c>
      <c r="K117" s="352">
        <v>39040</v>
      </c>
      <c r="L117" s="352">
        <v>0</v>
      </c>
      <c r="M117" s="352">
        <v>0</v>
      </c>
      <c r="N117" s="352">
        <v>0</v>
      </c>
      <c r="O117" s="352">
        <f t="shared" si="14"/>
        <v>409920</v>
      </c>
    </row>
    <row r="118" spans="1:15" s="353" customFormat="1" ht="75" x14ac:dyDescent="0.2">
      <c r="A118" s="346">
        <v>15</v>
      </c>
      <c r="B118" s="347">
        <v>243161</v>
      </c>
      <c r="C118" s="348" t="s">
        <v>1109</v>
      </c>
      <c r="D118" s="346" t="s">
        <v>1848</v>
      </c>
      <c r="E118" s="349" t="s">
        <v>302</v>
      </c>
      <c r="F118" s="350" t="s">
        <v>117</v>
      </c>
      <c r="G118" s="350" t="s">
        <v>318</v>
      </c>
      <c r="H118" s="351" t="s">
        <v>1849</v>
      </c>
      <c r="I118" s="352">
        <v>25000</v>
      </c>
      <c r="J118" s="352">
        <v>2000</v>
      </c>
      <c r="K118" s="352">
        <v>2000</v>
      </c>
      <c r="L118" s="352">
        <v>0</v>
      </c>
      <c r="M118" s="352">
        <v>0</v>
      </c>
      <c r="N118" s="352">
        <v>0</v>
      </c>
      <c r="O118" s="352">
        <f t="shared" si="14"/>
        <v>21000</v>
      </c>
    </row>
    <row r="119" spans="1:15" s="353" customFormat="1" ht="74.25" customHeight="1" x14ac:dyDescent="0.2">
      <c r="A119" s="346">
        <v>16</v>
      </c>
      <c r="B119" s="347">
        <v>243161</v>
      </c>
      <c r="C119" s="348" t="s">
        <v>1109</v>
      </c>
      <c r="D119" s="346" t="s">
        <v>1850</v>
      </c>
      <c r="E119" s="349" t="s">
        <v>115</v>
      </c>
      <c r="F119" s="350" t="s">
        <v>117</v>
      </c>
      <c r="G119" s="350" t="s">
        <v>1851</v>
      </c>
      <c r="H119" s="351" t="s">
        <v>1766</v>
      </c>
      <c r="I119" s="352">
        <v>2331000</v>
      </c>
      <c r="J119" s="352">
        <v>186480</v>
      </c>
      <c r="K119" s="352">
        <v>186480</v>
      </c>
      <c r="L119" s="352">
        <v>0</v>
      </c>
      <c r="M119" s="352">
        <v>0</v>
      </c>
      <c r="N119" s="352">
        <v>0</v>
      </c>
      <c r="O119" s="352">
        <f t="shared" si="14"/>
        <v>1958040</v>
      </c>
    </row>
    <row r="120" spans="1:15" s="353" customFormat="1" x14ac:dyDescent="0.2">
      <c r="A120" s="356" t="s">
        <v>706</v>
      </c>
      <c r="B120" s="357"/>
      <c r="C120" s="358"/>
      <c r="D120" s="359"/>
      <c r="E120" s="356"/>
      <c r="F120" s="360"/>
      <c r="G120" s="360"/>
      <c r="H120" s="361"/>
      <c r="I120" s="362">
        <f>SUM(I121:I126)</f>
        <v>2115946</v>
      </c>
      <c r="J120" s="362">
        <f t="shared" ref="J120:O120" si="15">SUM(J121:J126)</f>
        <v>0</v>
      </c>
      <c r="K120" s="362">
        <f t="shared" si="15"/>
        <v>0</v>
      </c>
      <c r="L120" s="362">
        <f t="shared" si="15"/>
        <v>35745.504999999997</v>
      </c>
      <c r="M120" s="362">
        <f t="shared" si="15"/>
        <v>35745.495000000003</v>
      </c>
      <c r="N120" s="362">
        <f t="shared" si="15"/>
        <v>0</v>
      </c>
      <c r="O120" s="362">
        <f t="shared" si="15"/>
        <v>2044455</v>
      </c>
    </row>
    <row r="121" spans="1:15" s="353" customFormat="1" ht="168.75" x14ac:dyDescent="0.2">
      <c r="A121" s="346">
        <v>1</v>
      </c>
      <c r="B121" s="347" t="s">
        <v>1623</v>
      </c>
      <c r="C121" s="348" t="s">
        <v>1702</v>
      </c>
      <c r="D121" s="346" t="s">
        <v>1703</v>
      </c>
      <c r="E121" s="349" t="s">
        <v>1704</v>
      </c>
      <c r="F121" s="350" t="s">
        <v>706</v>
      </c>
      <c r="G121" s="350" t="s">
        <v>309</v>
      </c>
      <c r="H121" s="351" t="s">
        <v>1705</v>
      </c>
      <c r="I121" s="352">
        <v>24897.25</v>
      </c>
      <c r="J121" s="352">
        <v>0</v>
      </c>
      <c r="K121" s="352">
        <v>0</v>
      </c>
      <c r="L121" s="352">
        <v>12448.625</v>
      </c>
      <c r="M121" s="352">
        <v>12448.625</v>
      </c>
      <c r="N121" s="352">
        <v>0</v>
      </c>
      <c r="O121" s="352">
        <f t="shared" ref="O121:O126" si="16">+I121-(SUM(J121:N121))</f>
        <v>0</v>
      </c>
    </row>
    <row r="122" spans="1:15" s="353" customFormat="1" ht="135" customHeight="1" x14ac:dyDescent="0.2">
      <c r="A122" s="346">
        <v>2</v>
      </c>
      <c r="B122" s="347" t="s">
        <v>1623</v>
      </c>
      <c r="C122" s="348" t="s">
        <v>1706</v>
      </c>
      <c r="D122" s="346" t="s">
        <v>1703</v>
      </c>
      <c r="E122" s="349" t="s">
        <v>1704</v>
      </c>
      <c r="F122" s="350" t="s">
        <v>706</v>
      </c>
      <c r="G122" s="350" t="s">
        <v>309</v>
      </c>
      <c r="H122" s="351" t="s">
        <v>1707</v>
      </c>
      <c r="I122" s="352">
        <v>27000</v>
      </c>
      <c r="J122" s="352">
        <v>0</v>
      </c>
      <c r="K122" s="352">
        <v>0</v>
      </c>
      <c r="L122" s="352">
        <v>13500</v>
      </c>
      <c r="M122" s="352">
        <v>13500</v>
      </c>
      <c r="N122" s="352">
        <v>0</v>
      </c>
      <c r="O122" s="352">
        <f t="shared" si="16"/>
        <v>0</v>
      </c>
    </row>
    <row r="123" spans="1:15" s="353" customFormat="1" ht="243.75" x14ac:dyDescent="0.2">
      <c r="A123" s="346">
        <v>3</v>
      </c>
      <c r="B123" s="347" t="s">
        <v>1730</v>
      </c>
      <c r="C123" s="348" t="s">
        <v>1731</v>
      </c>
      <c r="D123" s="346" t="s">
        <v>1732</v>
      </c>
      <c r="E123" s="349" t="s">
        <v>1733</v>
      </c>
      <c r="F123" s="350" t="s">
        <v>706</v>
      </c>
      <c r="G123" s="350" t="s">
        <v>309</v>
      </c>
      <c r="H123" s="351" t="s">
        <v>1734</v>
      </c>
      <c r="I123" s="352">
        <v>15093.75</v>
      </c>
      <c r="J123" s="352">
        <v>0</v>
      </c>
      <c r="K123" s="352">
        <v>0</v>
      </c>
      <c r="L123" s="352">
        <v>7546.88</v>
      </c>
      <c r="M123" s="352">
        <v>7546.87</v>
      </c>
      <c r="N123" s="352">
        <v>0</v>
      </c>
      <c r="O123" s="352">
        <f t="shared" si="16"/>
        <v>0</v>
      </c>
    </row>
    <row r="124" spans="1:15" s="353" customFormat="1" ht="150" x14ac:dyDescent="0.2">
      <c r="A124" s="346">
        <v>4</v>
      </c>
      <c r="B124" s="347" t="s">
        <v>1738</v>
      </c>
      <c r="C124" s="348" t="s">
        <v>1739</v>
      </c>
      <c r="D124" s="346" t="s">
        <v>1740</v>
      </c>
      <c r="E124" s="349" t="s">
        <v>1741</v>
      </c>
      <c r="F124" s="350" t="s">
        <v>706</v>
      </c>
      <c r="G124" s="350" t="s">
        <v>1253</v>
      </c>
      <c r="H124" s="351" t="s">
        <v>2011</v>
      </c>
      <c r="I124" s="352">
        <v>1739100</v>
      </c>
      <c r="J124" s="352">
        <v>0</v>
      </c>
      <c r="K124" s="352">
        <v>0</v>
      </c>
      <c r="L124" s="352">
        <v>0</v>
      </c>
      <c r="M124" s="352">
        <v>0</v>
      </c>
      <c r="N124" s="355" t="s">
        <v>1742</v>
      </c>
      <c r="O124" s="352">
        <f t="shared" si="16"/>
        <v>1739100</v>
      </c>
    </row>
    <row r="125" spans="1:15" s="353" customFormat="1" ht="150" x14ac:dyDescent="0.2">
      <c r="A125" s="346">
        <v>5</v>
      </c>
      <c r="B125" s="347" t="s">
        <v>1778</v>
      </c>
      <c r="C125" s="348" t="s">
        <v>1881</v>
      </c>
      <c r="D125" s="346" t="s">
        <v>1882</v>
      </c>
      <c r="E125" s="349" t="s">
        <v>1704</v>
      </c>
      <c r="F125" s="350" t="s">
        <v>706</v>
      </c>
      <c r="G125" s="350" t="s">
        <v>309</v>
      </c>
      <c r="H125" s="351" t="s">
        <v>1883</v>
      </c>
      <c r="I125" s="352">
        <v>4500</v>
      </c>
      <c r="J125" s="352"/>
      <c r="K125" s="352"/>
      <c r="L125" s="352">
        <v>2250</v>
      </c>
      <c r="M125" s="352">
        <v>2250</v>
      </c>
      <c r="N125" s="355"/>
      <c r="O125" s="352">
        <f t="shared" si="16"/>
        <v>0</v>
      </c>
    </row>
    <row r="126" spans="1:15" s="353" customFormat="1" ht="190.5" customHeight="1" x14ac:dyDescent="0.2">
      <c r="A126" s="346">
        <v>6</v>
      </c>
      <c r="B126" s="347" t="s">
        <v>1782</v>
      </c>
      <c r="C126" s="348" t="s">
        <v>1783</v>
      </c>
      <c r="D126" s="346" t="s">
        <v>1784</v>
      </c>
      <c r="E126" s="349" t="s">
        <v>705</v>
      </c>
      <c r="F126" s="350" t="s">
        <v>706</v>
      </c>
      <c r="G126" s="350" t="s">
        <v>930</v>
      </c>
      <c r="H126" s="351" t="s">
        <v>2012</v>
      </c>
      <c r="I126" s="352">
        <v>305355</v>
      </c>
      <c r="J126" s="352">
        <v>0</v>
      </c>
      <c r="K126" s="352">
        <v>0</v>
      </c>
      <c r="L126" s="352">
        <v>0</v>
      </c>
      <c r="M126" s="352">
        <v>0</v>
      </c>
      <c r="N126" s="355" t="s">
        <v>1786</v>
      </c>
      <c r="O126" s="352">
        <f t="shared" si="16"/>
        <v>305355</v>
      </c>
    </row>
    <row r="127" spans="1:15" s="353" customFormat="1" x14ac:dyDescent="0.2">
      <c r="A127" s="356" t="s">
        <v>152</v>
      </c>
      <c r="B127" s="357"/>
      <c r="C127" s="358"/>
      <c r="D127" s="359"/>
      <c r="E127" s="356"/>
      <c r="F127" s="360"/>
      <c r="G127" s="360"/>
      <c r="H127" s="361"/>
      <c r="I127" s="362">
        <f>SUM(I128:I134)</f>
        <v>2703220</v>
      </c>
      <c r="J127" s="362">
        <f t="shared" ref="J127:O127" si="17">SUM(J128:J134)</f>
        <v>80000</v>
      </c>
      <c r="K127" s="362">
        <f t="shared" si="17"/>
        <v>80000</v>
      </c>
      <c r="L127" s="362">
        <f t="shared" si="17"/>
        <v>0</v>
      </c>
      <c r="M127" s="362">
        <f t="shared" si="17"/>
        <v>0</v>
      </c>
      <c r="N127" s="362">
        <f t="shared" si="17"/>
        <v>0</v>
      </c>
      <c r="O127" s="362">
        <f t="shared" si="17"/>
        <v>2543220</v>
      </c>
    </row>
    <row r="128" spans="1:15" s="353" customFormat="1" ht="150" x14ac:dyDescent="0.2">
      <c r="A128" s="346">
        <v>1</v>
      </c>
      <c r="B128" s="347" t="s">
        <v>1652</v>
      </c>
      <c r="C128" s="348" t="s">
        <v>1711</v>
      </c>
      <c r="D128" s="346" t="s">
        <v>1712</v>
      </c>
      <c r="E128" s="349" t="s">
        <v>1251</v>
      </c>
      <c r="F128" s="350" t="s">
        <v>1252</v>
      </c>
      <c r="G128" s="350" t="s">
        <v>1253</v>
      </c>
      <c r="H128" s="351" t="s">
        <v>2013</v>
      </c>
      <c r="I128" s="352">
        <v>150000</v>
      </c>
      <c r="J128" s="352">
        <v>0</v>
      </c>
      <c r="K128" s="352">
        <v>0</v>
      </c>
      <c r="L128" s="352">
        <v>0</v>
      </c>
      <c r="M128" s="352">
        <v>0</v>
      </c>
      <c r="N128" s="355" t="s">
        <v>1713</v>
      </c>
      <c r="O128" s="352">
        <f t="shared" ref="O128:O134" si="18">+I128-(SUM(J128:N128))</f>
        <v>150000</v>
      </c>
    </row>
    <row r="129" spans="1:15" s="353" customFormat="1" ht="173.25" customHeight="1" x14ac:dyDescent="0.2">
      <c r="A129" s="346">
        <v>2</v>
      </c>
      <c r="B129" s="347" t="s">
        <v>1716</v>
      </c>
      <c r="C129" s="348" t="s">
        <v>1717</v>
      </c>
      <c r="D129" s="346" t="s">
        <v>1718</v>
      </c>
      <c r="E129" s="349" t="s">
        <v>1202</v>
      </c>
      <c r="F129" s="350" t="s">
        <v>1203</v>
      </c>
      <c r="G129" s="350" t="s">
        <v>1677</v>
      </c>
      <c r="H129" s="351" t="s">
        <v>1719</v>
      </c>
      <c r="I129" s="352">
        <v>250000</v>
      </c>
      <c r="J129" s="352">
        <v>20000</v>
      </c>
      <c r="K129" s="352">
        <v>20000</v>
      </c>
      <c r="L129" s="352">
        <v>0</v>
      </c>
      <c r="M129" s="352">
        <v>0</v>
      </c>
      <c r="N129" s="352">
        <v>0</v>
      </c>
      <c r="O129" s="352">
        <f t="shared" si="18"/>
        <v>210000</v>
      </c>
    </row>
    <row r="130" spans="1:15" s="353" customFormat="1" ht="150" x14ac:dyDescent="0.2">
      <c r="A130" s="346">
        <v>3</v>
      </c>
      <c r="B130" s="347" t="s">
        <v>1716</v>
      </c>
      <c r="C130" s="348" t="s">
        <v>1717</v>
      </c>
      <c r="D130" s="346" t="s">
        <v>1718</v>
      </c>
      <c r="E130" s="349" t="s">
        <v>1206</v>
      </c>
      <c r="F130" s="350" t="s">
        <v>1203</v>
      </c>
      <c r="G130" s="350" t="s">
        <v>1677</v>
      </c>
      <c r="H130" s="351" t="s">
        <v>1720</v>
      </c>
      <c r="I130" s="352">
        <v>250000</v>
      </c>
      <c r="J130" s="352">
        <v>20000</v>
      </c>
      <c r="K130" s="352">
        <v>20000</v>
      </c>
      <c r="L130" s="352">
        <v>0</v>
      </c>
      <c r="M130" s="352">
        <v>0</v>
      </c>
      <c r="N130" s="352">
        <v>0</v>
      </c>
      <c r="O130" s="352">
        <f t="shared" si="18"/>
        <v>210000</v>
      </c>
    </row>
    <row r="131" spans="1:15" s="353" customFormat="1" ht="150" x14ac:dyDescent="0.2">
      <c r="A131" s="346">
        <v>4</v>
      </c>
      <c r="B131" s="347" t="s">
        <v>1716</v>
      </c>
      <c r="C131" s="348" t="s">
        <v>1717</v>
      </c>
      <c r="D131" s="346" t="s">
        <v>1718</v>
      </c>
      <c r="E131" s="349" t="s">
        <v>963</v>
      </c>
      <c r="F131" s="350" t="s">
        <v>1203</v>
      </c>
      <c r="G131" s="350" t="s">
        <v>1677</v>
      </c>
      <c r="H131" s="351" t="s">
        <v>1721</v>
      </c>
      <c r="I131" s="352">
        <v>250000</v>
      </c>
      <c r="J131" s="352">
        <v>20000</v>
      </c>
      <c r="K131" s="352">
        <v>20000</v>
      </c>
      <c r="L131" s="352">
        <v>0</v>
      </c>
      <c r="M131" s="352">
        <v>0</v>
      </c>
      <c r="N131" s="352">
        <v>0</v>
      </c>
      <c r="O131" s="352">
        <f t="shared" si="18"/>
        <v>210000</v>
      </c>
    </row>
    <row r="132" spans="1:15" s="353" customFormat="1" ht="131.25" x14ac:dyDescent="0.2">
      <c r="A132" s="346">
        <v>5</v>
      </c>
      <c r="B132" s="347" t="s">
        <v>1716</v>
      </c>
      <c r="C132" s="348" t="s">
        <v>1717</v>
      </c>
      <c r="D132" s="346" t="s">
        <v>1718</v>
      </c>
      <c r="E132" s="349" t="s">
        <v>1722</v>
      </c>
      <c r="F132" s="350" t="s">
        <v>1203</v>
      </c>
      <c r="G132" s="350" t="s">
        <v>1677</v>
      </c>
      <c r="H132" s="351" t="s">
        <v>1723</v>
      </c>
      <c r="I132" s="352">
        <v>250000</v>
      </c>
      <c r="J132" s="352">
        <v>20000</v>
      </c>
      <c r="K132" s="352">
        <v>20000</v>
      </c>
      <c r="L132" s="352">
        <v>0</v>
      </c>
      <c r="M132" s="352">
        <v>0</v>
      </c>
      <c r="N132" s="352">
        <v>0</v>
      </c>
      <c r="O132" s="352">
        <f t="shared" si="18"/>
        <v>210000</v>
      </c>
    </row>
    <row r="133" spans="1:15" s="353" customFormat="1" ht="150" x14ac:dyDescent="0.2">
      <c r="A133" s="346">
        <v>6</v>
      </c>
      <c r="B133" s="347" t="s">
        <v>1874</v>
      </c>
      <c r="C133" s="348" t="s">
        <v>1875</v>
      </c>
      <c r="D133" s="346" t="s">
        <v>1876</v>
      </c>
      <c r="E133" s="349" t="s">
        <v>1877</v>
      </c>
      <c r="F133" s="350" t="s">
        <v>152</v>
      </c>
      <c r="G133" s="350" t="s">
        <v>1665</v>
      </c>
      <c r="H133" s="351" t="s">
        <v>2014</v>
      </c>
      <c r="I133" s="352">
        <v>150000</v>
      </c>
      <c r="J133" s="352">
        <v>0</v>
      </c>
      <c r="K133" s="352">
        <v>0</v>
      </c>
      <c r="L133" s="352">
        <v>0</v>
      </c>
      <c r="M133" s="352">
        <v>0</v>
      </c>
      <c r="N133" s="355" t="s">
        <v>1786</v>
      </c>
      <c r="O133" s="352">
        <f t="shared" si="18"/>
        <v>150000</v>
      </c>
    </row>
    <row r="134" spans="1:15" s="353" customFormat="1" ht="131.25" x14ac:dyDescent="0.2">
      <c r="A134" s="346">
        <v>7</v>
      </c>
      <c r="B134" s="347" t="s">
        <v>1807</v>
      </c>
      <c r="C134" s="348" t="s">
        <v>1808</v>
      </c>
      <c r="D134" s="346" t="s">
        <v>1809</v>
      </c>
      <c r="E134" s="349" t="s">
        <v>1251</v>
      </c>
      <c r="F134" s="350" t="s">
        <v>152</v>
      </c>
      <c r="G134" s="350" t="s">
        <v>1763</v>
      </c>
      <c r="H134" s="351" t="s">
        <v>2015</v>
      </c>
      <c r="I134" s="352">
        <v>1403220</v>
      </c>
      <c r="J134" s="352">
        <v>0</v>
      </c>
      <c r="K134" s="352">
        <v>0</v>
      </c>
      <c r="L134" s="352">
        <v>0</v>
      </c>
      <c r="M134" s="352">
        <v>0</v>
      </c>
      <c r="N134" s="355" t="s">
        <v>1786</v>
      </c>
      <c r="O134" s="352">
        <f t="shared" si="18"/>
        <v>1403220</v>
      </c>
    </row>
    <row r="135" spans="1:15" s="353" customFormat="1" x14ac:dyDescent="0.2">
      <c r="A135" s="356" t="s">
        <v>283</v>
      </c>
      <c r="B135" s="357"/>
      <c r="C135" s="358"/>
      <c r="D135" s="359"/>
      <c r="E135" s="356"/>
      <c r="F135" s="360"/>
      <c r="G135" s="360"/>
      <c r="H135" s="361"/>
      <c r="I135" s="362">
        <f>SUM(I136:I137)</f>
        <v>366582</v>
      </c>
      <c r="J135" s="362">
        <f t="shared" ref="J135:O135" si="19">SUM(J136:J137)</f>
        <v>29326.560000000001</v>
      </c>
      <c r="K135" s="362">
        <f t="shared" si="19"/>
        <v>29326.560000000001</v>
      </c>
      <c r="L135" s="362">
        <f t="shared" si="19"/>
        <v>0</v>
      </c>
      <c r="M135" s="362">
        <f t="shared" si="19"/>
        <v>0</v>
      </c>
      <c r="N135" s="362">
        <f t="shared" si="19"/>
        <v>0</v>
      </c>
      <c r="O135" s="362">
        <f t="shared" si="19"/>
        <v>307928.88</v>
      </c>
    </row>
    <row r="136" spans="1:15" s="353" customFormat="1" ht="187.5" x14ac:dyDescent="0.2">
      <c r="A136" s="346">
        <v>1</v>
      </c>
      <c r="B136" s="347" t="s">
        <v>1791</v>
      </c>
      <c r="C136" s="348" t="s">
        <v>1792</v>
      </c>
      <c r="D136" s="346" t="s">
        <v>1793</v>
      </c>
      <c r="E136" s="349" t="s">
        <v>1794</v>
      </c>
      <c r="F136" s="350" t="s">
        <v>283</v>
      </c>
      <c r="G136" s="350" t="s">
        <v>1795</v>
      </c>
      <c r="H136" s="351" t="s">
        <v>2016</v>
      </c>
      <c r="I136" s="352">
        <v>122194</v>
      </c>
      <c r="J136" s="352">
        <v>9775.52</v>
      </c>
      <c r="K136" s="352">
        <v>9775.52</v>
      </c>
      <c r="L136" s="352">
        <v>0</v>
      </c>
      <c r="M136" s="352">
        <v>0</v>
      </c>
      <c r="N136" s="352">
        <v>0</v>
      </c>
      <c r="O136" s="352">
        <f>+I136-(SUM(J136:N136))</f>
        <v>102642.95999999999</v>
      </c>
    </row>
    <row r="137" spans="1:15" s="353" customFormat="1" ht="187.5" x14ac:dyDescent="0.2">
      <c r="A137" s="346">
        <v>2</v>
      </c>
      <c r="B137" s="347" t="s">
        <v>1814</v>
      </c>
      <c r="C137" s="348" t="s">
        <v>1815</v>
      </c>
      <c r="D137" s="346" t="s">
        <v>1816</v>
      </c>
      <c r="E137" s="349" t="s">
        <v>1794</v>
      </c>
      <c r="F137" s="350" t="s">
        <v>283</v>
      </c>
      <c r="G137" s="350" t="s">
        <v>1795</v>
      </c>
      <c r="H137" s="351" t="s">
        <v>2017</v>
      </c>
      <c r="I137" s="352">
        <v>244388</v>
      </c>
      <c r="J137" s="352">
        <v>19551.04</v>
      </c>
      <c r="K137" s="352">
        <v>19551.04</v>
      </c>
      <c r="L137" s="352">
        <v>0</v>
      </c>
      <c r="M137" s="352">
        <v>0</v>
      </c>
      <c r="N137" s="352">
        <v>0</v>
      </c>
      <c r="O137" s="352">
        <f>+I137-(SUM(J137:N137))</f>
        <v>205285.91999999998</v>
      </c>
    </row>
    <row r="138" spans="1:15" s="353" customFormat="1" x14ac:dyDescent="0.2">
      <c r="A138" s="356" t="s">
        <v>1904</v>
      </c>
      <c r="B138" s="357"/>
      <c r="C138" s="358"/>
      <c r="D138" s="359"/>
      <c r="E138" s="356"/>
      <c r="F138" s="360"/>
      <c r="G138" s="360"/>
      <c r="H138" s="361"/>
      <c r="I138" s="362">
        <f>SUM(I139)</f>
        <v>922108</v>
      </c>
      <c r="J138" s="362">
        <f t="shared" ref="J138:O138" si="20">SUM(J139)</f>
        <v>46105.4</v>
      </c>
      <c r="K138" s="362">
        <f t="shared" si="20"/>
        <v>46105.4</v>
      </c>
      <c r="L138" s="362">
        <f t="shared" si="20"/>
        <v>0</v>
      </c>
      <c r="M138" s="362">
        <f t="shared" si="20"/>
        <v>0</v>
      </c>
      <c r="N138" s="362">
        <f t="shared" si="20"/>
        <v>0</v>
      </c>
      <c r="O138" s="362">
        <f t="shared" si="20"/>
        <v>829897.2</v>
      </c>
    </row>
    <row r="139" spans="1:15" s="353" customFormat="1" ht="187.5" x14ac:dyDescent="0.2">
      <c r="A139" s="346">
        <v>1</v>
      </c>
      <c r="B139" s="347" t="s">
        <v>1817</v>
      </c>
      <c r="C139" s="348" t="s">
        <v>1902</v>
      </c>
      <c r="D139" s="346" t="s">
        <v>1903</v>
      </c>
      <c r="E139" s="349" t="s">
        <v>1132</v>
      </c>
      <c r="F139" s="350" t="s">
        <v>1904</v>
      </c>
      <c r="G139" s="350" t="s">
        <v>1134</v>
      </c>
      <c r="H139" s="351" t="s">
        <v>2018</v>
      </c>
      <c r="I139" s="352">
        <f>829897.2+92210.8</f>
        <v>922108</v>
      </c>
      <c r="J139" s="352">
        <v>46105.4</v>
      </c>
      <c r="K139" s="352">
        <v>46105.4</v>
      </c>
      <c r="L139" s="352">
        <v>0</v>
      </c>
      <c r="M139" s="352">
        <v>0</v>
      </c>
      <c r="N139" s="355">
        <v>0</v>
      </c>
      <c r="O139" s="352">
        <f>+I139-(SUM(J139:N139))</f>
        <v>829897.2</v>
      </c>
    </row>
    <row r="140" spans="1:15" s="365" customFormat="1" ht="21.75" customHeight="1" thickBot="1" x14ac:dyDescent="0.45">
      <c r="A140" s="523" t="s">
        <v>1919</v>
      </c>
      <c r="B140" s="523"/>
      <c r="C140" s="523"/>
      <c r="D140" s="523"/>
      <c r="E140" s="523"/>
      <c r="F140" s="523"/>
      <c r="G140" s="523"/>
      <c r="H140" s="523"/>
      <c r="I140" s="364">
        <f t="shared" ref="I140:O140" si="21">SUM(I8+I16+I27+I52+I55+I76+I80+I84+I103+I120+I127+I135+I138)</f>
        <v>36613901.530000001</v>
      </c>
      <c r="J140" s="364">
        <f t="shared" si="21"/>
        <v>1210757.3999999999</v>
      </c>
      <c r="K140" s="364">
        <f t="shared" si="21"/>
        <v>1210757.3999999999</v>
      </c>
      <c r="L140" s="364">
        <f t="shared" si="21"/>
        <v>460823.76500000001</v>
      </c>
      <c r="M140" s="364">
        <f t="shared" si="21"/>
        <v>460823.755</v>
      </c>
      <c r="N140" s="364">
        <f t="shared" si="21"/>
        <v>0</v>
      </c>
      <c r="O140" s="364">
        <f t="shared" si="21"/>
        <v>33270739.210000001</v>
      </c>
    </row>
    <row r="141" spans="1:15" ht="19.5" thickTop="1" x14ac:dyDescent="0.4"/>
    <row r="145" spans="10:15" x14ac:dyDescent="0.4">
      <c r="J145" s="369"/>
      <c r="K145" s="369"/>
      <c r="L145" s="369"/>
      <c r="M145" s="369"/>
      <c r="N145" s="369"/>
      <c r="O145" s="369"/>
    </row>
    <row r="146" spans="10:15" x14ac:dyDescent="0.4">
      <c r="J146" s="369"/>
      <c r="K146" s="369"/>
      <c r="L146" s="369"/>
      <c r="M146" s="369"/>
      <c r="N146" s="369"/>
      <c r="O146" s="369"/>
    </row>
    <row r="166" spans="1:16" ht="21" x14ac:dyDescent="0.4">
      <c r="A166" s="531"/>
      <c r="B166" s="531"/>
      <c r="C166" s="531"/>
      <c r="D166" s="531"/>
      <c r="E166" s="531"/>
      <c r="F166" s="531"/>
      <c r="G166" s="531"/>
      <c r="H166" s="531"/>
      <c r="I166" s="531"/>
      <c r="J166" s="531"/>
      <c r="K166" s="531"/>
      <c r="L166" s="532"/>
      <c r="M166" s="532"/>
      <c r="N166" s="532"/>
      <c r="O166" s="532"/>
      <c r="P166" s="370"/>
    </row>
    <row r="167" spans="1:16" ht="21" x14ac:dyDescent="0.4">
      <c r="A167" s="531"/>
      <c r="B167" s="531"/>
      <c r="C167" s="531"/>
      <c r="D167" s="531"/>
      <c r="E167" s="531"/>
      <c r="F167" s="531"/>
      <c r="G167" s="531"/>
      <c r="H167" s="531"/>
      <c r="I167" s="531"/>
      <c r="J167" s="531"/>
      <c r="K167" s="531"/>
      <c r="L167" s="532"/>
      <c r="M167" s="532"/>
      <c r="N167" s="532"/>
      <c r="O167" s="532"/>
      <c r="P167" s="370"/>
    </row>
    <row r="168" spans="1:16" ht="21" x14ac:dyDescent="0.4">
      <c r="A168" s="531"/>
      <c r="B168" s="531"/>
      <c r="C168" s="531"/>
      <c r="D168" s="531"/>
      <c r="E168" s="531"/>
      <c r="F168" s="531"/>
      <c r="G168" s="531"/>
      <c r="H168" s="531"/>
      <c r="I168" s="531"/>
      <c r="J168" s="531"/>
      <c r="K168" s="531"/>
      <c r="L168" s="532"/>
      <c r="M168" s="532"/>
      <c r="N168" s="532"/>
      <c r="O168" s="532"/>
      <c r="P168" s="370"/>
    </row>
  </sheetData>
  <mergeCells count="30">
    <mergeCell ref="A1:O1"/>
    <mergeCell ref="A2:O2"/>
    <mergeCell ref="A3:O3"/>
    <mergeCell ref="A5:A7"/>
    <mergeCell ref="B5:I5"/>
    <mergeCell ref="J5:N5"/>
    <mergeCell ref="O5:O7"/>
    <mergeCell ref="B6:B7"/>
    <mergeCell ref="C6:C7"/>
    <mergeCell ref="D6:D7"/>
    <mergeCell ref="L6:N6"/>
    <mergeCell ref="E6:E7"/>
    <mergeCell ref="F6:F7"/>
    <mergeCell ref="G6:G7"/>
    <mergeCell ref="H6:H7"/>
    <mergeCell ref="I6:I7"/>
    <mergeCell ref="A140:H140"/>
    <mergeCell ref="A166:D166"/>
    <mergeCell ref="E166:G166"/>
    <mergeCell ref="H166:K166"/>
    <mergeCell ref="J6:K6"/>
    <mergeCell ref="A168:D168"/>
    <mergeCell ref="E168:G168"/>
    <mergeCell ref="H168:K168"/>
    <mergeCell ref="L168:O168"/>
    <mergeCell ref="L166:O166"/>
    <mergeCell ref="A167:D167"/>
    <mergeCell ref="E167:G167"/>
    <mergeCell ref="H167:K167"/>
    <mergeCell ref="L167:O16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election activeCell="L13" sqref="L13"/>
    </sheetView>
  </sheetViews>
  <sheetFormatPr defaultRowHeight="18.75" x14ac:dyDescent="0.4"/>
  <cols>
    <col min="1" max="1" width="4.375" style="366" customWidth="1"/>
    <col min="2" max="2" width="41.375" style="366" customWidth="1"/>
    <col min="3" max="3" width="12.625" style="369" customWidth="1"/>
    <col min="4" max="7" width="11.625" style="328" customWidth="1"/>
    <col min="8" max="8" width="9.625" style="328" customWidth="1"/>
    <col min="9" max="9" width="11.625" style="328" customWidth="1"/>
    <col min="10" max="16384" width="9" style="328"/>
  </cols>
  <sheetData>
    <row r="1" spans="1:10" ht="21" x14ac:dyDescent="0.45">
      <c r="A1" s="512" t="s">
        <v>1913</v>
      </c>
      <c r="B1" s="512"/>
      <c r="C1" s="512"/>
      <c r="D1" s="512"/>
      <c r="E1" s="512"/>
      <c r="F1" s="512"/>
      <c r="G1" s="512"/>
      <c r="H1" s="512"/>
      <c r="I1" s="512"/>
    </row>
    <row r="2" spans="1:10" ht="21" x14ac:dyDescent="0.45">
      <c r="A2" s="512" t="s">
        <v>2815</v>
      </c>
      <c r="B2" s="512"/>
      <c r="C2" s="512"/>
      <c r="D2" s="512"/>
      <c r="E2" s="512"/>
      <c r="F2" s="512"/>
      <c r="G2" s="512"/>
      <c r="H2" s="512"/>
      <c r="I2" s="512"/>
    </row>
    <row r="3" spans="1:10" ht="21" x14ac:dyDescent="0.45">
      <c r="A3" s="512" t="s">
        <v>2814</v>
      </c>
      <c r="B3" s="512"/>
      <c r="C3" s="512"/>
      <c r="D3" s="512"/>
      <c r="E3" s="512"/>
      <c r="F3" s="512"/>
      <c r="G3" s="512"/>
      <c r="H3" s="512"/>
      <c r="I3" s="512"/>
    </row>
    <row r="4" spans="1:10" s="332" customFormat="1" ht="8.1" customHeight="1" x14ac:dyDescent="0.4">
      <c r="A4" s="329"/>
      <c r="B4" s="329"/>
      <c r="C4" s="333"/>
    </row>
    <row r="5" spans="1:10" s="335" customFormat="1" ht="38.1" customHeight="1" x14ac:dyDescent="0.4">
      <c r="A5" s="551" t="s">
        <v>253</v>
      </c>
      <c r="B5" s="551" t="s">
        <v>1915</v>
      </c>
      <c r="C5" s="552" t="s">
        <v>263</v>
      </c>
      <c r="D5" s="554" t="s">
        <v>255</v>
      </c>
      <c r="E5" s="554"/>
      <c r="F5" s="554"/>
      <c r="G5" s="554"/>
      <c r="H5" s="554"/>
      <c r="I5" s="551" t="s">
        <v>256</v>
      </c>
      <c r="J5" s="334"/>
    </row>
    <row r="6" spans="1:10" s="336" customFormat="1" ht="57.95" customHeight="1" x14ac:dyDescent="0.2">
      <c r="A6" s="551"/>
      <c r="B6" s="551"/>
      <c r="C6" s="552"/>
      <c r="D6" s="553" t="s">
        <v>264</v>
      </c>
      <c r="E6" s="553"/>
      <c r="F6" s="553" t="s">
        <v>265</v>
      </c>
      <c r="G6" s="553"/>
      <c r="H6" s="553"/>
      <c r="I6" s="551"/>
    </row>
    <row r="7" spans="1:10" s="335" customFormat="1" ht="60" customHeight="1" x14ac:dyDescent="0.4">
      <c r="A7" s="551"/>
      <c r="B7" s="551"/>
      <c r="C7" s="552"/>
      <c r="D7" s="481" t="s">
        <v>266</v>
      </c>
      <c r="E7" s="481" t="s">
        <v>267</v>
      </c>
      <c r="F7" s="481" t="s">
        <v>266</v>
      </c>
      <c r="G7" s="481" t="s">
        <v>267</v>
      </c>
      <c r="H7" s="481" t="s">
        <v>2816</v>
      </c>
      <c r="I7" s="551"/>
      <c r="J7" s="334"/>
    </row>
    <row r="8" spans="1:10" s="345" customFormat="1" x14ac:dyDescent="0.4">
      <c r="A8" s="346">
        <v>1</v>
      </c>
      <c r="B8" s="349" t="s">
        <v>739</v>
      </c>
      <c r="C8" s="482">
        <v>1834750</v>
      </c>
      <c r="D8" s="482">
        <v>29127</v>
      </c>
      <c r="E8" s="482">
        <v>29127</v>
      </c>
      <c r="F8" s="482">
        <v>29331.25</v>
      </c>
      <c r="G8" s="482">
        <v>29331.25</v>
      </c>
      <c r="H8" s="482">
        <v>0</v>
      </c>
      <c r="I8" s="482">
        <v>1717833.5</v>
      </c>
      <c r="J8" s="344"/>
    </row>
    <row r="9" spans="1:10" s="479" customFormat="1" x14ac:dyDescent="0.4">
      <c r="A9" s="346">
        <v>2</v>
      </c>
      <c r="B9" s="349" t="s">
        <v>360</v>
      </c>
      <c r="C9" s="397">
        <v>247224.78000000003</v>
      </c>
      <c r="D9" s="397">
        <v>19777.989999999998</v>
      </c>
      <c r="E9" s="397">
        <v>19777.989999999998</v>
      </c>
      <c r="F9" s="397">
        <v>0</v>
      </c>
      <c r="G9" s="397">
        <v>0</v>
      </c>
      <c r="H9" s="397">
        <v>0</v>
      </c>
      <c r="I9" s="397">
        <v>207668.8</v>
      </c>
      <c r="J9" s="478"/>
    </row>
    <row r="10" spans="1:10" s="478" customFormat="1" x14ac:dyDescent="0.2">
      <c r="A10" s="346">
        <v>3</v>
      </c>
      <c r="B10" s="349" t="s">
        <v>161</v>
      </c>
      <c r="C10" s="397">
        <v>1791618</v>
      </c>
      <c r="D10" s="397">
        <v>79593.399999999994</v>
      </c>
      <c r="E10" s="397">
        <v>79593.399999999994</v>
      </c>
      <c r="F10" s="397">
        <v>23875</v>
      </c>
      <c r="G10" s="397">
        <v>23875</v>
      </c>
      <c r="H10" s="397">
        <v>0</v>
      </c>
      <c r="I10" s="397">
        <v>1584681.2</v>
      </c>
    </row>
    <row r="11" spans="1:10" s="478" customFormat="1" x14ac:dyDescent="0.2">
      <c r="A11" s="346">
        <v>4</v>
      </c>
      <c r="B11" s="349" t="s">
        <v>512</v>
      </c>
      <c r="C11" s="397">
        <v>947450</v>
      </c>
      <c r="D11" s="397">
        <v>37272.5</v>
      </c>
      <c r="E11" s="397">
        <v>37272.5</v>
      </c>
      <c r="F11" s="397">
        <v>0</v>
      </c>
      <c r="G11" s="397">
        <v>0</v>
      </c>
      <c r="H11" s="397">
        <v>0</v>
      </c>
      <c r="I11" s="397">
        <v>872905</v>
      </c>
    </row>
    <row r="12" spans="1:10" s="478" customFormat="1" x14ac:dyDescent="0.2">
      <c r="A12" s="346">
        <v>5</v>
      </c>
      <c r="B12" s="349" t="s">
        <v>22</v>
      </c>
      <c r="C12" s="397">
        <v>4515693.68</v>
      </c>
      <c r="D12" s="397">
        <v>53550.29</v>
      </c>
      <c r="E12" s="397">
        <v>53550.29</v>
      </c>
      <c r="F12" s="397">
        <v>153300</v>
      </c>
      <c r="G12" s="397">
        <v>153300</v>
      </c>
      <c r="H12" s="397">
        <v>0</v>
      </c>
      <c r="I12" s="397">
        <v>4101993.1</v>
      </c>
    </row>
    <row r="13" spans="1:10" s="478" customFormat="1" x14ac:dyDescent="0.2">
      <c r="A13" s="346">
        <v>6</v>
      </c>
      <c r="B13" s="349" t="s">
        <v>1229</v>
      </c>
      <c r="C13" s="397">
        <v>291000</v>
      </c>
      <c r="D13" s="397">
        <v>0</v>
      </c>
      <c r="E13" s="397">
        <v>0</v>
      </c>
      <c r="F13" s="397">
        <v>0</v>
      </c>
      <c r="G13" s="397">
        <v>0</v>
      </c>
      <c r="H13" s="397">
        <v>0</v>
      </c>
      <c r="I13" s="397">
        <v>291000</v>
      </c>
    </row>
    <row r="14" spans="1:10" s="478" customFormat="1" x14ac:dyDescent="0.2">
      <c r="A14" s="346">
        <v>7</v>
      </c>
      <c r="B14" s="349" t="s">
        <v>19</v>
      </c>
      <c r="C14" s="397">
        <v>3662847</v>
      </c>
      <c r="D14" s="397">
        <v>179771.6</v>
      </c>
      <c r="E14" s="397">
        <v>179771.6</v>
      </c>
      <c r="F14" s="397">
        <v>33707.5</v>
      </c>
      <c r="G14" s="397">
        <v>33707.5</v>
      </c>
      <c r="H14" s="397">
        <v>0</v>
      </c>
      <c r="I14" s="397">
        <v>3235888.8</v>
      </c>
    </row>
    <row r="15" spans="1:10" s="479" customFormat="1" x14ac:dyDescent="0.4">
      <c r="A15" s="346">
        <v>8</v>
      </c>
      <c r="B15" s="349" t="s">
        <v>1067</v>
      </c>
      <c r="C15" s="397">
        <v>5723880</v>
      </c>
      <c r="D15" s="397">
        <v>270989</v>
      </c>
      <c r="E15" s="397">
        <v>270989</v>
      </c>
      <c r="F15" s="397">
        <v>0</v>
      </c>
      <c r="G15" s="397">
        <v>0</v>
      </c>
      <c r="H15" s="397">
        <v>0</v>
      </c>
      <c r="I15" s="397">
        <v>5181902</v>
      </c>
      <c r="J15" s="478"/>
    </row>
    <row r="16" spans="1:10" s="478" customFormat="1" x14ac:dyDescent="0.2">
      <c r="A16" s="346">
        <v>9</v>
      </c>
      <c r="B16" s="349" t="s">
        <v>152</v>
      </c>
      <c r="C16" s="397">
        <v>8900000</v>
      </c>
      <c r="D16" s="397">
        <v>100000</v>
      </c>
      <c r="E16" s="397">
        <v>100000</v>
      </c>
      <c r="F16" s="397">
        <v>40000</v>
      </c>
      <c r="G16" s="397">
        <v>40000</v>
      </c>
      <c r="H16" s="397">
        <v>0</v>
      </c>
      <c r="I16" s="397">
        <v>8620000</v>
      </c>
    </row>
    <row r="17" spans="1:9" s="478" customFormat="1" x14ac:dyDescent="0.2">
      <c r="A17" s="346">
        <v>10</v>
      </c>
      <c r="B17" s="349" t="s">
        <v>923</v>
      </c>
      <c r="C17" s="397">
        <v>530115</v>
      </c>
      <c r="D17" s="397">
        <v>26505.75</v>
      </c>
      <c r="E17" s="397">
        <v>26505.75</v>
      </c>
      <c r="F17" s="397">
        <v>0</v>
      </c>
      <c r="G17" s="397">
        <v>0</v>
      </c>
      <c r="H17" s="397">
        <v>0</v>
      </c>
      <c r="I17" s="397">
        <v>477103.5</v>
      </c>
    </row>
    <row r="18" spans="1:9" s="478" customFormat="1" x14ac:dyDescent="0.2">
      <c r="A18" s="346">
        <v>11</v>
      </c>
      <c r="B18" s="349" t="s">
        <v>1133</v>
      </c>
      <c r="C18" s="397">
        <v>1504492</v>
      </c>
      <c r="D18" s="397">
        <v>75224.600000000006</v>
      </c>
      <c r="E18" s="397">
        <v>75224.600000000006</v>
      </c>
      <c r="F18" s="397">
        <v>0</v>
      </c>
      <c r="G18" s="397">
        <v>0</v>
      </c>
      <c r="H18" s="397">
        <v>0</v>
      </c>
      <c r="I18" s="397">
        <v>1354042.8</v>
      </c>
    </row>
    <row r="19" spans="1:9" s="385" customFormat="1" ht="21.75" thickBot="1" x14ac:dyDescent="0.5">
      <c r="A19" s="494" t="s">
        <v>1919</v>
      </c>
      <c r="B19" s="495"/>
      <c r="C19" s="480">
        <f>SUM(C8:C18)</f>
        <v>29949070.460000001</v>
      </c>
      <c r="D19" s="480">
        <f t="shared" ref="D19:I19" si="0">SUM(D8:D18)</f>
        <v>871812.13</v>
      </c>
      <c r="E19" s="480">
        <f t="shared" si="0"/>
        <v>871812.13</v>
      </c>
      <c r="F19" s="480">
        <f t="shared" si="0"/>
        <v>280213.75</v>
      </c>
      <c r="G19" s="480">
        <f t="shared" si="0"/>
        <v>280213.75</v>
      </c>
      <c r="H19" s="480">
        <f t="shared" si="0"/>
        <v>0</v>
      </c>
      <c r="I19" s="480">
        <f t="shared" si="0"/>
        <v>27645018.699999999</v>
      </c>
    </row>
    <row r="20" spans="1:9" ht="19.5" thickTop="1" x14ac:dyDescent="0.4"/>
    <row r="21" spans="1:9" x14ac:dyDescent="0.4">
      <c r="D21" s="369"/>
      <c r="E21" s="369"/>
      <c r="F21" s="369"/>
      <c r="G21" s="369"/>
      <c r="H21" s="369"/>
      <c r="I21" s="369"/>
    </row>
    <row r="23" spans="1:9" x14ac:dyDescent="0.4">
      <c r="D23" s="369"/>
      <c r="E23" s="369"/>
      <c r="F23" s="369"/>
      <c r="G23" s="369"/>
      <c r="H23" s="369"/>
      <c r="I23" s="369"/>
    </row>
    <row r="87" spans="1:10" ht="21" x14ac:dyDescent="0.4">
      <c r="A87" s="437" t="s">
        <v>517</v>
      </c>
      <c r="B87" s="437"/>
      <c r="C87" s="531"/>
      <c r="D87" s="531"/>
      <c r="E87" s="531"/>
      <c r="F87" s="532" t="s">
        <v>519</v>
      </c>
      <c r="G87" s="532"/>
      <c r="H87" s="532"/>
      <c r="I87" s="532"/>
      <c r="J87" s="370"/>
    </row>
    <row r="88" spans="1:10" ht="21" x14ac:dyDescent="0.4">
      <c r="A88" s="437" t="s">
        <v>785</v>
      </c>
      <c r="B88" s="437"/>
      <c r="C88" s="531"/>
      <c r="D88" s="531"/>
      <c r="E88" s="531"/>
      <c r="F88" s="532" t="s">
        <v>521</v>
      </c>
      <c r="G88" s="532"/>
      <c r="H88" s="532"/>
      <c r="I88" s="532"/>
      <c r="J88" s="370"/>
    </row>
    <row r="89" spans="1:10" ht="21" x14ac:dyDescent="0.4">
      <c r="A89" s="437" t="s">
        <v>787</v>
      </c>
      <c r="B89" s="437"/>
      <c r="C89" s="531"/>
      <c r="D89" s="531"/>
      <c r="E89" s="531"/>
      <c r="F89" s="532" t="s">
        <v>524</v>
      </c>
      <c r="G89" s="532"/>
      <c r="H89" s="532"/>
      <c r="I89" s="532"/>
      <c r="J89" s="370"/>
    </row>
  </sheetData>
  <mergeCells count="17">
    <mergeCell ref="A1:I1"/>
    <mergeCell ref="A2:I2"/>
    <mergeCell ref="A3:I3"/>
    <mergeCell ref="A5:A7"/>
    <mergeCell ref="D5:H5"/>
    <mergeCell ref="I5:I7"/>
    <mergeCell ref="C89:E89"/>
    <mergeCell ref="F89:I89"/>
    <mergeCell ref="B5:B7"/>
    <mergeCell ref="A19:B19"/>
    <mergeCell ref="C5:C7"/>
    <mergeCell ref="C87:E87"/>
    <mergeCell ref="F87:I87"/>
    <mergeCell ref="C88:E88"/>
    <mergeCell ref="F88:I88"/>
    <mergeCell ref="F6:H6"/>
    <mergeCell ref="D6:E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5"/>
  <sheetViews>
    <sheetView topLeftCell="A106" workbookViewId="0">
      <selection activeCell="F123" sqref="F123"/>
    </sheetView>
  </sheetViews>
  <sheetFormatPr defaultRowHeight="19.5" x14ac:dyDescent="0.45"/>
  <cols>
    <col min="1" max="1" width="4.625" style="245" customWidth="1"/>
    <col min="2" max="2" width="9.125" style="246" customWidth="1"/>
    <col min="3" max="3" width="10.625" style="245" customWidth="1"/>
    <col min="4" max="4" width="16.625" style="245" customWidth="1"/>
    <col min="5" max="5" width="22.625" style="247" customWidth="1"/>
    <col min="6" max="6" width="21.875" style="450" customWidth="1"/>
    <col min="7" max="7" width="17.125" style="450" customWidth="1"/>
    <col min="8" max="8" width="28.125" style="450" customWidth="1"/>
    <col min="9" max="9" width="12.625" style="248" customWidth="1"/>
    <col min="10" max="13" width="11.625" style="206" customWidth="1"/>
    <col min="14" max="14" width="9.625" style="206" customWidth="1"/>
    <col min="15" max="15" width="11.625" style="206" customWidth="1"/>
    <col min="16" max="16384" width="9" style="206"/>
  </cols>
  <sheetData>
    <row r="1" spans="1:16" ht="21" x14ac:dyDescent="0.45">
      <c r="A1" s="560" t="s">
        <v>1913</v>
      </c>
      <c r="B1" s="560"/>
      <c r="C1" s="560"/>
      <c r="D1" s="560"/>
      <c r="E1" s="560"/>
      <c r="F1" s="560"/>
      <c r="G1" s="560"/>
      <c r="H1" s="560"/>
      <c r="I1" s="560"/>
      <c r="J1" s="560"/>
      <c r="K1" s="560"/>
      <c r="L1" s="560"/>
      <c r="M1" s="560"/>
      <c r="N1" s="560"/>
      <c r="O1" s="560"/>
    </row>
    <row r="2" spans="1:16" ht="21" x14ac:dyDescent="0.45">
      <c r="A2" s="560" t="s">
        <v>1920</v>
      </c>
      <c r="B2" s="560"/>
      <c r="C2" s="560"/>
      <c r="D2" s="560"/>
      <c r="E2" s="560"/>
      <c r="F2" s="560"/>
      <c r="G2" s="560"/>
      <c r="H2" s="560"/>
      <c r="I2" s="560"/>
      <c r="J2" s="560"/>
      <c r="K2" s="560"/>
      <c r="L2" s="560"/>
      <c r="M2" s="560"/>
      <c r="N2" s="560"/>
      <c r="O2" s="560"/>
    </row>
    <row r="3" spans="1:16" ht="21" x14ac:dyDescent="0.45">
      <c r="A3" s="560" t="s">
        <v>2814</v>
      </c>
      <c r="B3" s="560"/>
      <c r="C3" s="560"/>
      <c r="D3" s="560"/>
      <c r="E3" s="560"/>
      <c r="F3" s="560"/>
      <c r="G3" s="560"/>
      <c r="H3" s="560"/>
      <c r="I3" s="560"/>
      <c r="J3" s="560"/>
      <c r="K3" s="560"/>
      <c r="L3" s="560"/>
      <c r="M3" s="560"/>
      <c r="N3" s="560"/>
      <c r="O3" s="560"/>
    </row>
    <row r="4" spans="1:16" s="210" customFormat="1" ht="8.1" customHeight="1" thickBot="1" x14ac:dyDescent="0.5">
      <c r="A4" s="207"/>
      <c r="B4" s="208"/>
      <c r="C4" s="245"/>
      <c r="D4" s="245"/>
      <c r="E4" s="247"/>
      <c r="F4" s="450"/>
      <c r="G4" s="450"/>
      <c r="H4" s="450"/>
      <c r="I4" s="211"/>
    </row>
    <row r="5" spans="1:16" s="213" customFormat="1" ht="38.1" customHeight="1" x14ac:dyDescent="0.4">
      <c r="A5" s="561" t="s">
        <v>253</v>
      </c>
      <c r="B5" s="563" t="s">
        <v>254</v>
      </c>
      <c r="C5" s="564"/>
      <c r="D5" s="564"/>
      <c r="E5" s="564"/>
      <c r="F5" s="564"/>
      <c r="G5" s="564"/>
      <c r="H5" s="564"/>
      <c r="I5" s="565"/>
      <c r="J5" s="566" t="s">
        <v>255</v>
      </c>
      <c r="K5" s="567"/>
      <c r="L5" s="567"/>
      <c r="M5" s="567"/>
      <c r="N5" s="568"/>
      <c r="O5" s="569" t="s">
        <v>256</v>
      </c>
      <c r="P5" s="212"/>
    </row>
    <row r="6" spans="1:16" s="214" customFormat="1" ht="57.95" customHeight="1" x14ac:dyDescent="0.2">
      <c r="A6" s="562"/>
      <c r="B6" s="571" t="s">
        <v>257</v>
      </c>
      <c r="C6" s="573" t="s">
        <v>2</v>
      </c>
      <c r="D6" s="573" t="s">
        <v>258</v>
      </c>
      <c r="E6" s="574" t="s">
        <v>259</v>
      </c>
      <c r="F6" s="573" t="s">
        <v>260</v>
      </c>
      <c r="G6" s="573" t="s">
        <v>261</v>
      </c>
      <c r="H6" s="573" t="s">
        <v>262</v>
      </c>
      <c r="I6" s="577" t="s">
        <v>263</v>
      </c>
      <c r="J6" s="557" t="s">
        <v>264</v>
      </c>
      <c r="K6" s="558"/>
      <c r="L6" s="557" t="s">
        <v>265</v>
      </c>
      <c r="M6" s="558"/>
      <c r="N6" s="575"/>
      <c r="O6" s="570"/>
    </row>
    <row r="7" spans="1:16" s="213" customFormat="1" ht="60" customHeight="1" x14ac:dyDescent="0.4">
      <c r="A7" s="562"/>
      <c r="B7" s="572"/>
      <c r="C7" s="574"/>
      <c r="D7" s="574"/>
      <c r="E7" s="576"/>
      <c r="F7" s="574"/>
      <c r="G7" s="574"/>
      <c r="H7" s="574"/>
      <c r="I7" s="578"/>
      <c r="J7" s="464" t="s">
        <v>266</v>
      </c>
      <c r="K7" s="464" t="s">
        <v>267</v>
      </c>
      <c r="L7" s="464" t="s">
        <v>266</v>
      </c>
      <c r="M7" s="464" t="s">
        <v>267</v>
      </c>
      <c r="N7" s="464" t="s">
        <v>894</v>
      </c>
      <c r="O7" s="570"/>
      <c r="P7" s="212"/>
    </row>
    <row r="8" spans="1:16" s="463" customFormat="1" ht="18.75" x14ac:dyDescent="0.4">
      <c r="A8" s="465" t="s">
        <v>739</v>
      </c>
      <c r="B8" s="473"/>
      <c r="C8" s="474"/>
      <c r="D8" s="474"/>
      <c r="E8" s="474"/>
      <c r="F8" s="474"/>
      <c r="G8" s="474"/>
      <c r="H8" s="474"/>
      <c r="I8" s="475">
        <f>SUM(I9:I14)</f>
        <v>1834750</v>
      </c>
      <c r="J8" s="475">
        <f t="shared" ref="J8:O8" si="0">SUM(J9:J14)</f>
        <v>29127</v>
      </c>
      <c r="K8" s="475">
        <f t="shared" si="0"/>
        <v>29127</v>
      </c>
      <c r="L8" s="475">
        <f t="shared" si="0"/>
        <v>29331.25</v>
      </c>
      <c r="M8" s="475">
        <f t="shared" si="0"/>
        <v>29331.25</v>
      </c>
      <c r="N8" s="475">
        <f t="shared" si="0"/>
        <v>0</v>
      </c>
      <c r="O8" s="475">
        <f t="shared" si="0"/>
        <v>1717833.5</v>
      </c>
      <c r="P8" s="462"/>
    </row>
    <row r="9" spans="1:16" ht="24" customHeight="1" x14ac:dyDescent="0.45">
      <c r="A9" s="452">
        <v>10</v>
      </c>
      <c r="B9" s="453" t="s">
        <v>1164</v>
      </c>
      <c r="C9" s="454" t="s">
        <v>1171</v>
      </c>
      <c r="D9" s="454" t="s">
        <v>1172</v>
      </c>
      <c r="E9" s="455" t="s">
        <v>1173</v>
      </c>
      <c r="F9" s="455" t="s">
        <v>739</v>
      </c>
      <c r="G9" s="455" t="s">
        <v>1162</v>
      </c>
      <c r="H9" s="456" t="s">
        <v>1174</v>
      </c>
      <c r="I9" s="451">
        <v>247000</v>
      </c>
      <c r="J9" s="451"/>
      <c r="K9" s="451"/>
      <c r="L9" s="451">
        <v>12350</v>
      </c>
      <c r="M9" s="451">
        <v>12350</v>
      </c>
      <c r="N9" s="451"/>
      <c r="O9" s="451">
        <f t="shared" ref="O9:O14" si="1">+I9-(SUM(J9:N9))</f>
        <v>222300</v>
      </c>
      <c r="P9" s="228"/>
    </row>
    <row r="10" spans="1:16" s="228" customFormat="1" ht="24" customHeight="1" x14ac:dyDescent="0.2">
      <c r="A10" s="452">
        <v>13</v>
      </c>
      <c r="B10" s="453" t="s">
        <v>1182</v>
      </c>
      <c r="C10" s="454" t="s">
        <v>1183</v>
      </c>
      <c r="D10" s="454" t="s">
        <v>1184</v>
      </c>
      <c r="E10" s="455" t="s">
        <v>1185</v>
      </c>
      <c r="F10" s="455" t="s">
        <v>1186</v>
      </c>
      <c r="G10" s="455" t="s">
        <v>1187</v>
      </c>
      <c r="H10" s="456" t="s">
        <v>1188</v>
      </c>
      <c r="I10" s="451">
        <v>430625</v>
      </c>
      <c r="J10" s="451">
        <v>0</v>
      </c>
      <c r="K10" s="451">
        <v>0</v>
      </c>
      <c r="L10" s="451">
        <v>0</v>
      </c>
      <c r="M10" s="451">
        <v>0</v>
      </c>
      <c r="N10" s="476" t="s">
        <v>1189</v>
      </c>
      <c r="O10" s="451">
        <f t="shared" si="1"/>
        <v>430625</v>
      </c>
    </row>
    <row r="11" spans="1:16" s="228" customFormat="1" ht="24" customHeight="1" x14ac:dyDescent="0.2">
      <c r="A11" s="452">
        <v>20</v>
      </c>
      <c r="B11" s="453" t="s">
        <v>1211</v>
      </c>
      <c r="C11" s="454" t="s">
        <v>1212</v>
      </c>
      <c r="D11" s="454" t="s">
        <v>1213</v>
      </c>
      <c r="E11" s="455" t="s">
        <v>1185</v>
      </c>
      <c r="F11" s="455" t="s">
        <v>739</v>
      </c>
      <c r="G11" s="455" t="s">
        <v>1214</v>
      </c>
      <c r="H11" s="456" t="s">
        <v>1215</v>
      </c>
      <c r="I11" s="451">
        <v>58254</v>
      </c>
      <c r="J11" s="451">
        <v>29127</v>
      </c>
      <c r="K11" s="451">
        <v>29127</v>
      </c>
      <c r="L11" s="451">
        <v>0</v>
      </c>
      <c r="M11" s="451">
        <v>0</v>
      </c>
      <c r="N11" s="451">
        <v>0</v>
      </c>
      <c r="O11" s="451">
        <f t="shared" si="1"/>
        <v>0</v>
      </c>
    </row>
    <row r="12" spans="1:16" s="228" customFormat="1" ht="24" customHeight="1" x14ac:dyDescent="0.2">
      <c r="A12" s="452">
        <v>28</v>
      </c>
      <c r="B12" s="453" t="s">
        <v>1237</v>
      </c>
      <c r="C12" s="454" t="s">
        <v>1241</v>
      </c>
      <c r="D12" s="454" t="s">
        <v>1242</v>
      </c>
      <c r="E12" s="455" t="s">
        <v>1173</v>
      </c>
      <c r="F12" s="455" t="s">
        <v>739</v>
      </c>
      <c r="G12" s="455" t="s">
        <v>1162</v>
      </c>
      <c r="H12" s="456" t="s">
        <v>1243</v>
      </c>
      <c r="I12" s="451">
        <v>339625</v>
      </c>
      <c r="J12" s="451">
        <v>0</v>
      </c>
      <c r="K12" s="451">
        <v>0</v>
      </c>
      <c r="L12" s="451">
        <v>16981.25</v>
      </c>
      <c r="M12" s="451">
        <v>16981.25</v>
      </c>
      <c r="N12" s="451">
        <v>0</v>
      </c>
      <c r="O12" s="451">
        <f t="shared" si="1"/>
        <v>305662.5</v>
      </c>
    </row>
    <row r="13" spans="1:16" s="228" customFormat="1" ht="24" customHeight="1" x14ac:dyDescent="0.2">
      <c r="A13" s="452">
        <v>29</v>
      </c>
      <c r="B13" s="453" t="s">
        <v>1244</v>
      </c>
      <c r="C13" s="454" t="s">
        <v>1245</v>
      </c>
      <c r="D13" s="454" t="s">
        <v>1246</v>
      </c>
      <c r="E13" s="455" t="s">
        <v>1185</v>
      </c>
      <c r="F13" s="455" t="s">
        <v>739</v>
      </c>
      <c r="G13" s="455" t="s">
        <v>1187</v>
      </c>
      <c r="H13" s="456" t="s">
        <v>1247</v>
      </c>
      <c r="I13" s="451">
        <v>204300</v>
      </c>
      <c r="J13" s="451">
        <v>0</v>
      </c>
      <c r="K13" s="451">
        <v>0</v>
      </c>
      <c r="L13" s="451">
        <v>0</v>
      </c>
      <c r="M13" s="451">
        <v>0</v>
      </c>
      <c r="N13" s="457" t="s">
        <v>1248</v>
      </c>
      <c r="O13" s="451">
        <f t="shared" si="1"/>
        <v>204300</v>
      </c>
    </row>
    <row r="14" spans="1:16" ht="24" customHeight="1" x14ac:dyDescent="0.45">
      <c r="A14" s="452">
        <v>40</v>
      </c>
      <c r="B14" s="453">
        <v>242796</v>
      </c>
      <c r="C14" s="458" t="s">
        <v>932</v>
      </c>
      <c r="D14" s="454" t="s">
        <v>933</v>
      </c>
      <c r="E14" s="455" t="s">
        <v>1185</v>
      </c>
      <c r="F14" s="455" t="s">
        <v>739</v>
      </c>
      <c r="G14" s="455" t="s">
        <v>1214</v>
      </c>
      <c r="H14" s="459" t="s">
        <v>1282</v>
      </c>
      <c r="I14" s="451">
        <v>554946</v>
      </c>
      <c r="J14" s="451">
        <v>0</v>
      </c>
      <c r="K14" s="451">
        <v>0</v>
      </c>
      <c r="L14" s="451">
        <v>0</v>
      </c>
      <c r="M14" s="451">
        <v>0</v>
      </c>
      <c r="N14" s="451">
        <v>0</v>
      </c>
      <c r="O14" s="451">
        <f t="shared" si="1"/>
        <v>554946</v>
      </c>
      <c r="P14" s="228"/>
    </row>
    <row r="15" spans="1:16" ht="24" customHeight="1" x14ac:dyDescent="0.45">
      <c r="A15" s="465" t="s">
        <v>360</v>
      </c>
      <c r="B15" s="466"/>
      <c r="C15" s="467"/>
      <c r="D15" s="468"/>
      <c r="E15" s="465"/>
      <c r="F15" s="465"/>
      <c r="G15" s="465"/>
      <c r="H15" s="471"/>
      <c r="I15" s="470">
        <f>SUM(I16:I17)</f>
        <v>247224.78000000003</v>
      </c>
      <c r="J15" s="470">
        <f t="shared" ref="J15:O15" si="2">SUM(J16:J17)</f>
        <v>19777.989999999998</v>
      </c>
      <c r="K15" s="470">
        <f t="shared" si="2"/>
        <v>19777.989999999998</v>
      </c>
      <c r="L15" s="470">
        <f t="shared" si="2"/>
        <v>0</v>
      </c>
      <c r="M15" s="470">
        <f t="shared" si="2"/>
        <v>0</v>
      </c>
      <c r="N15" s="470">
        <f t="shared" si="2"/>
        <v>0</v>
      </c>
      <c r="O15" s="470">
        <f t="shared" si="2"/>
        <v>207668.8</v>
      </c>
      <c r="P15" s="228"/>
    </row>
    <row r="16" spans="1:16" s="228" customFormat="1" ht="24" customHeight="1" x14ac:dyDescent="0.2">
      <c r="A16" s="452">
        <v>48</v>
      </c>
      <c r="B16" s="453" t="s">
        <v>1097</v>
      </c>
      <c r="C16" s="460" t="s">
        <v>1109</v>
      </c>
      <c r="D16" s="454" t="s">
        <v>1114</v>
      </c>
      <c r="E16" s="455" t="s">
        <v>1115</v>
      </c>
      <c r="F16" s="455" t="s">
        <v>360</v>
      </c>
      <c r="G16" s="455" t="s">
        <v>1116</v>
      </c>
      <c r="H16" s="456" t="s">
        <v>1117</v>
      </c>
      <c r="I16" s="451">
        <v>149833.20000000001</v>
      </c>
      <c r="J16" s="451">
        <v>11986.66</v>
      </c>
      <c r="K16" s="451">
        <v>11986.66</v>
      </c>
      <c r="L16" s="451">
        <v>0</v>
      </c>
      <c r="M16" s="451">
        <v>0</v>
      </c>
      <c r="N16" s="451">
        <v>0</v>
      </c>
      <c r="O16" s="451">
        <f>+I16-(SUM(J16:N16))</f>
        <v>125859.88</v>
      </c>
    </row>
    <row r="17" spans="1:15" s="228" customFormat="1" ht="24" customHeight="1" x14ac:dyDescent="0.2">
      <c r="A17" s="452">
        <v>49</v>
      </c>
      <c r="B17" s="453" t="s">
        <v>1097</v>
      </c>
      <c r="C17" s="460" t="s">
        <v>1109</v>
      </c>
      <c r="D17" s="454" t="s">
        <v>1118</v>
      </c>
      <c r="E17" s="455" t="s">
        <v>1115</v>
      </c>
      <c r="F17" s="455" t="s">
        <v>360</v>
      </c>
      <c r="G17" s="455" t="s">
        <v>1116</v>
      </c>
      <c r="H17" s="456" t="s">
        <v>1119</v>
      </c>
      <c r="I17" s="451">
        <v>97391.58</v>
      </c>
      <c r="J17" s="451">
        <v>7791.33</v>
      </c>
      <c r="K17" s="451">
        <v>7791.33</v>
      </c>
      <c r="L17" s="451">
        <v>0</v>
      </c>
      <c r="M17" s="451">
        <v>0</v>
      </c>
      <c r="N17" s="451">
        <v>0</v>
      </c>
      <c r="O17" s="451">
        <f>+I17-(SUM(J17:N17))</f>
        <v>81808.92</v>
      </c>
    </row>
    <row r="18" spans="1:15" s="228" customFormat="1" ht="24" customHeight="1" x14ac:dyDescent="0.2">
      <c r="A18" s="465" t="s">
        <v>161</v>
      </c>
      <c r="B18" s="466"/>
      <c r="C18" s="472"/>
      <c r="D18" s="468"/>
      <c r="E18" s="465"/>
      <c r="F18" s="465"/>
      <c r="G18" s="465"/>
      <c r="H18" s="469"/>
      <c r="I18" s="470">
        <f>SUM(I19:I26)</f>
        <v>1791618</v>
      </c>
      <c r="J18" s="470">
        <f t="shared" ref="J18:O18" si="3">SUM(J19:J26)</f>
        <v>79593.399999999994</v>
      </c>
      <c r="K18" s="470">
        <f t="shared" si="3"/>
        <v>79593.399999999994</v>
      </c>
      <c r="L18" s="470">
        <f t="shared" si="3"/>
        <v>23875</v>
      </c>
      <c r="M18" s="470">
        <f t="shared" si="3"/>
        <v>23875</v>
      </c>
      <c r="N18" s="470">
        <f t="shared" si="3"/>
        <v>0</v>
      </c>
      <c r="O18" s="470">
        <f t="shared" si="3"/>
        <v>1584681.2</v>
      </c>
    </row>
    <row r="19" spans="1:15" s="228" customFormat="1" ht="24" customHeight="1" x14ac:dyDescent="0.2">
      <c r="A19" s="452">
        <v>8</v>
      </c>
      <c r="B19" s="453" t="s">
        <v>954</v>
      </c>
      <c r="C19" s="454" t="s">
        <v>955</v>
      </c>
      <c r="D19" s="454" t="s">
        <v>956</v>
      </c>
      <c r="E19" s="455" t="s">
        <v>957</v>
      </c>
      <c r="F19" s="455" t="s">
        <v>161</v>
      </c>
      <c r="G19" s="455" t="s">
        <v>958</v>
      </c>
      <c r="H19" s="456" t="s">
        <v>959</v>
      </c>
      <c r="I19" s="451">
        <v>152000</v>
      </c>
      <c r="J19" s="451">
        <v>0</v>
      </c>
      <c r="K19" s="451">
        <v>0</v>
      </c>
      <c r="L19" s="451">
        <v>0</v>
      </c>
      <c r="M19" s="451">
        <v>0</v>
      </c>
      <c r="N19" s="461" t="s">
        <v>311</v>
      </c>
      <c r="O19" s="451">
        <f t="shared" ref="O19:O26" si="4">+I19-(SUM(J19:N19))</f>
        <v>152000</v>
      </c>
    </row>
    <row r="20" spans="1:15" s="228" customFormat="1" ht="24" customHeight="1" x14ac:dyDescent="0.2">
      <c r="A20" s="452">
        <v>10</v>
      </c>
      <c r="B20" s="453" t="s">
        <v>966</v>
      </c>
      <c r="C20" s="454" t="s">
        <v>967</v>
      </c>
      <c r="D20" s="454" t="s">
        <v>968</v>
      </c>
      <c r="E20" s="455" t="s">
        <v>969</v>
      </c>
      <c r="F20" s="455" t="s">
        <v>161</v>
      </c>
      <c r="G20" s="455" t="s">
        <v>970</v>
      </c>
      <c r="H20" s="456" t="s">
        <v>971</v>
      </c>
      <c r="I20" s="451">
        <v>79092</v>
      </c>
      <c r="J20" s="451">
        <v>3954.6</v>
      </c>
      <c r="K20" s="451">
        <v>3954.6</v>
      </c>
      <c r="L20" s="451">
        <v>0</v>
      </c>
      <c r="M20" s="451">
        <v>0</v>
      </c>
      <c r="N20" s="451">
        <v>0</v>
      </c>
      <c r="O20" s="451">
        <f t="shared" si="4"/>
        <v>71182.8</v>
      </c>
    </row>
    <row r="21" spans="1:15" s="228" customFormat="1" ht="24" customHeight="1" x14ac:dyDescent="0.2">
      <c r="A21" s="452">
        <v>25</v>
      </c>
      <c r="B21" s="453" t="s">
        <v>1015</v>
      </c>
      <c r="C21" s="454" t="s">
        <v>1016</v>
      </c>
      <c r="D21" s="454" t="s">
        <v>1017</v>
      </c>
      <c r="E21" s="455" t="s">
        <v>1018</v>
      </c>
      <c r="F21" s="455" t="s">
        <v>161</v>
      </c>
      <c r="G21" s="455" t="s">
        <v>1019</v>
      </c>
      <c r="H21" s="456" t="s">
        <v>1020</v>
      </c>
      <c r="I21" s="451">
        <v>88440</v>
      </c>
      <c r="J21" s="451">
        <v>4422</v>
      </c>
      <c r="K21" s="451">
        <v>4422</v>
      </c>
      <c r="L21" s="451">
        <v>0</v>
      </c>
      <c r="M21" s="451">
        <v>0</v>
      </c>
      <c r="N21" s="451">
        <v>0</v>
      </c>
      <c r="O21" s="451">
        <f t="shared" si="4"/>
        <v>79596</v>
      </c>
    </row>
    <row r="22" spans="1:15" s="228" customFormat="1" ht="24" customHeight="1" x14ac:dyDescent="0.2">
      <c r="A22" s="452">
        <v>29</v>
      </c>
      <c r="B22" s="453" t="s">
        <v>1036</v>
      </c>
      <c r="C22" s="454" t="s">
        <v>1037</v>
      </c>
      <c r="D22" s="454" t="s">
        <v>1038</v>
      </c>
      <c r="E22" s="455" t="s">
        <v>969</v>
      </c>
      <c r="F22" s="455" t="s">
        <v>161</v>
      </c>
      <c r="G22" s="455" t="s">
        <v>1039</v>
      </c>
      <c r="H22" s="456" t="s">
        <v>1040</v>
      </c>
      <c r="I22" s="451">
        <f>37568.7+1977.3</f>
        <v>39546</v>
      </c>
      <c r="J22" s="451">
        <v>1977.3000000000002</v>
      </c>
      <c r="K22" s="451">
        <v>1977.3000000000002</v>
      </c>
      <c r="L22" s="451">
        <v>0</v>
      </c>
      <c r="M22" s="451">
        <v>0</v>
      </c>
      <c r="N22" s="451">
        <v>0</v>
      </c>
      <c r="O22" s="451">
        <f t="shared" si="4"/>
        <v>35591.4</v>
      </c>
    </row>
    <row r="23" spans="1:15" s="228" customFormat="1" ht="24" customHeight="1" x14ac:dyDescent="0.2">
      <c r="A23" s="452">
        <v>31</v>
      </c>
      <c r="B23" s="453" t="s">
        <v>1047</v>
      </c>
      <c r="C23" s="454" t="s">
        <v>1048</v>
      </c>
      <c r="D23" s="454" t="s">
        <v>1049</v>
      </c>
      <c r="E23" s="455" t="s">
        <v>1018</v>
      </c>
      <c r="F23" s="455" t="s">
        <v>161</v>
      </c>
      <c r="G23" s="455" t="s">
        <v>1050</v>
      </c>
      <c r="H23" s="456" t="s">
        <v>1051</v>
      </c>
      <c r="I23" s="451">
        <v>78540</v>
      </c>
      <c r="J23" s="451">
        <v>3927</v>
      </c>
      <c r="K23" s="451">
        <v>3927</v>
      </c>
      <c r="L23" s="451">
        <v>0</v>
      </c>
      <c r="M23" s="451">
        <v>0</v>
      </c>
      <c r="N23" s="451">
        <v>0</v>
      </c>
      <c r="O23" s="451">
        <f t="shared" si="4"/>
        <v>70686</v>
      </c>
    </row>
    <row r="24" spans="1:15" s="228" customFormat="1" ht="24" customHeight="1" x14ac:dyDescent="0.2">
      <c r="A24" s="452">
        <v>32</v>
      </c>
      <c r="B24" s="453" t="s">
        <v>1052</v>
      </c>
      <c r="C24" s="454" t="s">
        <v>1053</v>
      </c>
      <c r="D24" s="454" t="s">
        <v>1054</v>
      </c>
      <c r="E24" s="455" t="s">
        <v>1018</v>
      </c>
      <c r="F24" s="455" t="s">
        <v>161</v>
      </c>
      <c r="G24" s="455" t="s">
        <v>1055</v>
      </c>
      <c r="H24" s="456" t="s">
        <v>1056</v>
      </c>
      <c r="I24" s="451">
        <v>96250</v>
      </c>
      <c r="J24" s="451">
        <v>4812.5</v>
      </c>
      <c r="K24" s="451">
        <v>4812.5</v>
      </c>
      <c r="L24" s="451">
        <v>0</v>
      </c>
      <c r="M24" s="451">
        <v>0</v>
      </c>
      <c r="N24" s="451">
        <v>0</v>
      </c>
      <c r="O24" s="451">
        <f t="shared" si="4"/>
        <v>86625</v>
      </c>
    </row>
    <row r="25" spans="1:15" s="228" customFormat="1" ht="24" customHeight="1" x14ac:dyDescent="0.2">
      <c r="A25" s="452">
        <v>39</v>
      </c>
      <c r="B25" s="453" t="s">
        <v>1081</v>
      </c>
      <c r="C25" s="454" t="s">
        <v>1085</v>
      </c>
      <c r="D25" s="454" t="s">
        <v>1086</v>
      </c>
      <c r="E25" s="455" t="s">
        <v>1087</v>
      </c>
      <c r="F25" s="455" t="s">
        <v>161</v>
      </c>
      <c r="G25" s="455" t="s">
        <v>1088</v>
      </c>
      <c r="H25" s="456" t="s">
        <v>1089</v>
      </c>
      <c r="I25" s="451">
        <v>1210000</v>
      </c>
      <c r="J25" s="451">
        <v>60500</v>
      </c>
      <c r="K25" s="451">
        <v>60500</v>
      </c>
      <c r="L25" s="451">
        <v>0</v>
      </c>
      <c r="M25" s="451">
        <v>0</v>
      </c>
      <c r="N25" s="451">
        <v>0</v>
      </c>
      <c r="O25" s="451">
        <f t="shared" si="4"/>
        <v>1089000</v>
      </c>
    </row>
    <row r="26" spans="1:15" s="228" customFormat="1" ht="24" customHeight="1" x14ac:dyDescent="0.2">
      <c r="A26" s="452">
        <v>44</v>
      </c>
      <c r="B26" s="453" t="s">
        <v>1097</v>
      </c>
      <c r="C26" s="454" t="s">
        <v>1101</v>
      </c>
      <c r="D26" s="454" t="s">
        <v>1102</v>
      </c>
      <c r="E26" s="455" t="s">
        <v>628</v>
      </c>
      <c r="F26" s="455" t="s">
        <v>161</v>
      </c>
      <c r="G26" s="455" t="s">
        <v>1103</v>
      </c>
      <c r="H26" s="456" t="s">
        <v>1104</v>
      </c>
      <c r="I26" s="451">
        <v>47750</v>
      </c>
      <c r="J26" s="451">
        <v>0</v>
      </c>
      <c r="K26" s="451">
        <v>0</v>
      </c>
      <c r="L26" s="451">
        <v>23875</v>
      </c>
      <c r="M26" s="451">
        <v>23875</v>
      </c>
      <c r="N26" s="451">
        <v>0</v>
      </c>
      <c r="O26" s="451">
        <f t="shared" si="4"/>
        <v>0</v>
      </c>
    </row>
    <row r="27" spans="1:15" s="228" customFormat="1" ht="24" customHeight="1" x14ac:dyDescent="0.2">
      <c r="A27" s="465" t="s">
        <v>512</v>
      </c>
      <c r="B27" s="466"/>
      <c r="C27" s="468"/>
      <c r="D27" s="468"/>
      <c r="E27" s="465"/>
      <c r="F27" s="465"/>
      <c r="G27" s="465"/>
      <c r="H27" s="469"/>
      <c r="I27" s="470">
        <f>SUM(I28:I35)</f>
        <v>947450</v>
      </c>
      <c r="J27" s="470">
        <f t="shared" ref="J27:O27" si="5">SUM(J28:J35)</f>
        <v>37272.5</v>
      </c>
      <c r="K27" s="470">
        <f t="shared" si="5"/>
        <v>37272.5</v>
      </c>
      <c r="L27" s="470">
        <f t="shared" si="5"/>
        <v>0</v>
      </c>
      <c r="M27" s="470">
        <f t="shared" si="5"/>
        <v>0</v>
      </c>
      <c r="N27" s="470">
        <f t="shared" si="5"/>
        <v>0</v>
      </c>
      <c r="O27" s="470">
        <f t="shared" si="5"/>
        <v>872905</v>
      </c>
    </row>
    <row r="28" spans="1:15" s="228" customFormat="1" ht="24" customHeight="1" x14ac:dyDescent="0.2">
      <c r="A28" s="452">
        <v>3</v>
      </c>
      <c r="B28" s="453" t="s">
        <v>1136</v>
      </c>
      <c r="C28" s="454" t="s">
        <v>1137</v>
      </c>
      <c r="D28" s="454" t="s">
        <v>1138</v>
      </c>
      <c r="E28" s="455" t="s">
        <v>1139</v>
      </c>
      <c r="F28" s="455" t="s">
        <v>512</v>
      </c>
      <c r="G28" s="455" t="s">
        <v>1134</v>
      </c>
      <c r="H28" s="456" t="s">
        <v>1140</v>
      </c>
      <c r="I28" s="451">
        <v>8800</v>
      </c>
      <c r="J28" s="451">
        <v>4400</v>
      </c>
      <c r="K28" s="451">
        <v>4400</v>
      </c>
      <c r="L28" s="451">
        <v>0</v>
      </c>
      <c r="M28" s="451">
        <v>0</v>
      </c>
      <c r="N28" s="451"/>
      <c r="O28" s="451">
        <f t="shared" ref="O28:O35" si="6">+I28-(SUM(J28:N28))</f>
        <v>0</v>
      </c>
    </row>
    <row r="29" spans="1:15" s="228" customFormat="1" ht="24" customHeight="1" x14ac:dyDescent="0.2">
      <c r="A29" s="452">
        <v>15</v>
      </c>
      <c r="B29" s="453" t="s">
        <v>1194</v>
      </c>
      <c r="C29" s="454" t="s">
        <v>1195</v>
      </c>
      <c r="D29" s="454" t="s">
        <v>1196</v>
      </c>
      <c r="E29" s="455" t="s">
        <v>1197</v>
      </c>
      <c r="F29" s="455" t="s">
        <v>512</v>
      </c>
      <c r="G29" s="455" t="s">
        <v>1198</v>
      </c>
      <c r="H29" s="456" t="s">
        <v>1199</v>
      </c>
      <c r="I29" s="451">
        <v>191235</v>
      </c>
      <c r="J29" s="451">
        <v>9561.75</v>
      </c>
      <c r="K29" s="451">
        <v>9561.75</v>
      </c>
      <c r="L29" s="451">
        <v>0</v>
      </c>
      <c r="M29" s="451">
        <v>0</v>
      </c>
      <c r="N29" s="451">
        <v>0</v>
      </c>
      <c r="O29" s="451">
        <f t="shared" si="6"/>
        <v>172111.5</v>
      </c>
    </row>
    <row r="30" spans="1:15" s="228" customFormat="1" ht="24" customHeight="1" x14ac:dyDescent="0.2">
      <c r="A30" s="452">
        <v>21</v>
      </c>
      <c r="B30" s="453" t="s">
        <v>1060</v>
      </c>
      <c r="C30" s="454" t="s">
        <v>1216</v>
      </c>
      <c r="D30" s="454" t="s">
        <v>1217</v>
      </c>
      <c r="E30" s="455" t="s">
        <v>1197</v>
      </c>
      <c r="F30" s="455" t="s">
        <v>512</v>
      </c>
      <c r="G30" s="455" t="s">
        <v>1198</v>
      </c>
      <c r="H30" s="456" t="s">
        <v>1218</v>
      </c>
      <c r="I30" s="451">
        <v>318725</v>
      </c>
      <c r="J30" s="451">
        <v>15936.25</v>
      </c>
      <c r="K30" s="451">
        <v>15936.25</v>
      </c>
      <c r="L30" s="451">
        <v>0</v>
      </c>
      <c r="M30" s="451">
        <v>0</v>
      </c>
      <c r="N30" s="451">
        <v>0</v>
      </c>
      <c r="O30" s="451">
        <f t="shared" si="6"/>
        <v>286852.5</v>
      </c>
    </row>
    <row r="31" spans="1:15" s="228" customFormat="1" ht="24" customHeight="1" x14ac:dyDescent="0.2">
      <c r="A31" s="452">
        <v>22</v>
      </c>
      <c r="B31" s="453" t="s">
        <v>1060</v>
      </c>
      <c r="C31" s="454" t="s">
        <v>1219</v>
      </c>
      <c r="D31" s="454" t="s">
        <v>1220</v>
      </c>
      <c r="E31" s="455" t="s">
        <v>1139</v>
      </c>
      <c r="F31" s="455" t="s">
        <v>512</v>
      </c>
      <c r="G31" s="455" t="s">
        <v>1134</v>
      </c>
      <c r="H31" s="456" t="s">
        <v>1221</v>
      </c>
      <c r="I31" s="451">
        <v>2000</v>
      </c>
      <c r="J31" s="451">
        <v>1000</v>
      </c>
      <c r="K31" s="451">
        <v>1000</v>
      </c>
      <c r="L31" s="451">
        <v>0</v>
      </c>
      <c r="M31" s="451">
        <v>0</v>
      </c>
      <c r="N31" s="451">
        <v>0</v>
      </c>
      <c r="O31" s="451">
        <f t="shared" si="6"/>
        <v>0</v>
      </c>
    </row>
    <row r="32" spans="1:15" s="228" customFormat="1" ht="24" customHeight="1" x14ac:dyDescent="0.2">
      <c r="A32" s="452">
        <v>32</v>
      </c>
      <c r="B32" s="453" t="s">
        <v>1096</v>
      </c>
      <c r="C32" s="454" t="s">
        <v>1259</v>
      </c>
      <c r="D32" s="454" t="s">
        <v>1260</v>
      </c>
      <c r="E32" s="455" t="s">
        <v>1197</v>
      </c>
      <c r="F32" s="455" t="s">
        <v>512</v>
      </c>
      <c r="G32" s="455" t="s">
        <v>1162</v>
      </c>
      <c r="H32" s="456" t="s">
        <v>1261</v>
      </c>
      <c r="I32" s="451">
        <v>127490</v>
      </c>
      <c r="J32" s="451">
        <v>6374.5</v>
      </c>
      <c r="K32" s="451">
        <v>6374.5</v>
      </c>
      <c r="L32" s="451">
        <v>0</v>
      </c>
      <c r="M32" s="451">
        <v>0</v>
      </c>
      <c r="N32" s="451">
        <v>0</v>
      </c>
      <c r="O32" s="451">
        <f t="shared" si="6"/>
        <v>114741</v>
      </c>
    </row>
    <row r="33" spans="1:15" s="228" customFormat="1" ht="24" customHeight="1" x14ac:dyDescent="0.2">
      <c r="A33" s="452">
        <v>34</v>
      </c>
      <c r="B33" s="453" t="s">
        <v>1097</v>
      </c>
      <c r="C33" s="454" t="s">
        <v>1266</v>
      </c>
      <c r="D33" s="454" t="s">
        <v>1267</v>
      </c>
      <c r="E33" s="455" t="s">
        <v>1268</v>
      </c>
      <c r="F33" s="455" t="s">
        <v>512</v>
      </c>
      <c r="G33" s="455" t="s">
        <v>1269</v>
      </c>
      <c r="H33" s="456" t="s">
        <v>1270</v>
      </c>
      <c r="I33" s="451">
        <v>202000</v>
      </c>
      <c r="J33" s="451">
        <v>0</v>
      </c>
      <c r="K33" s="451">
        <v>0</v>
      </c>
      <c r="L33" s="451">
        <v>0</v>
      </c>
      <c r="M33" s="451">
        <v>0</v>
      </c>
      <c r="N33" s="457" t="s">
        <v>1255</v>
      </c>
      <c r="O33" s="451">
        <f t="shared" si="6"/>
        <v>202000</v>
      </c>
    </row>
    <row r="34" spans="1:15" s="228" customFormat="1" ht="24" customHeight="1" x14ac:dyDescent="0.2">
      <c r="A34" s="452">
        <v>39</v>
      </c>
      <c r="B34" s="453">
        <v>242796</v>
      </c>
      <c r="C34" s="458" t="s">
        <v>932</v>
      </c>
      <c r="D34" s="454" t="s">
        <v>933</v>
      </c>
      <c r="E34" s="455" t="s">
        <v>1139</v>
      </c>
      <c r="F34" s="455" t="s">
        <v>512</v>
      </c>
      <c r="G34" s="455" t="s">
        <v>1134</v>
      </c>
      <c r="H34" s="459" t="s">
        <v>1281</v>
      </c>
      <c r="I34" s="451">
        <v>79200</v>
      </c>
      <c r="J34" s="451">
        <v>0</v>
      </c>
      <c r="K34" s="451">
        <v>0</v>
      </c>
      <c r="L34" s="451">
        <v>0</v>
      </c>
      <c r="M34" s="451">
        <v>0</v>
      </c>
      <c r="N34" s="451">
        <v>0</v>
      </c>
      <c r="O34" s="451">
        <f t="shared" si="6"/>
        <v>79200</v>
      </c>
    </row>
    <row r="35" spans="1:15" s="228" customFormat="1" ht="24" customHeight="1" x14ac:dyDescent="0.2">
      <c r="A35" s="452">
        <v>41</v>
      </c>
      <c r="B35" s="453">
        <v>242796</v>
      </c>
      <c r="C35" s="458" t="s">
        <v>932</v>
      </c>
      <c r="D35" s="454" t="s">
        <v>933</v>
      </c>
      <c r="E35" s="455" t="s">
        <v>1139</v>
      </c>
      <c r="F35" s="455" t="s">
        <v>512</v>
      </c>
      <c r="G35" s="455" t="s">
        <v>1134</v>
      </c>
      <c r="H35" s="459" t="s">
        <v>1283</v>
      </c>
      <c r="I35" s="451">
        <v>18000</v>
      </c>
      <c r="J35" s="451">
        <v>0</v>
      </c>
      <c r="K35" s="451">
        <v>0</v>
      </c>
      <c r="L35" s="451">
        <v>0</v>
      </c>
      <c r="M35" s="451">
        <v>0</v>
      </c>
      <c r="N35" s="451">
        <v>0</v>
      </c>
      <c r="O35" s="451">
        <f t="shared" si="6"/>
        <v>18000</v>
      </c>
    </row>
    <row r="36" spans="1:15" s="228" customFormat="1" ht="24" customHeight="1" x14ac:dyDescent="0.2">
      <c r="A36" s="465" t="s">
        <v>22</v>
      </c>
      <c r="B36" s="466"/>
      <c r="C36" s="467"/>
      <c r="D36" s="468"/>
      <c r="E36" s="465"/>
      <c r="F36" s="465"/>
      <c r="G36" s="465"/>
      <c r="H36" s="471"/>
      <c r="I36" s="470">
        <f>SUM(I37:I54)</f>
        <v>4515693.68</v>
      </c>
      <c r="J36" s="470">
        <f t="shared" ref="J36:O36" si="7">SUM(J37:J54)</f>
        <v>53550.29</v>
      </c>
      <c r="K36" s="470">
        <f t="shared" si="7"/>
        <v>53550.29</v>
      </c>
      <c r="L36" s="470">
        <f t="shared" si="7"/>
        <v>153300</v>
      </c>
      <c r="M36" s="470">
        <f t="shared" si="7"/>
        <v>153300</v>
      </c>
      <c r="N36" s="470">
        <f t="shared" si="7"/>
        <v>0</v>
      </c>
      <c r="O36" s="470">
        <f t="shared" si="7"/>
        <v>4101993.1</v>
      </c>
    </row>
    <row r="37" spans="1:15" s="228" customFormat="1" ht="24" customHeight="1" x14ac:dyDescent="0.2">
      <c r="A37" s="452">
        <v>36</v>
      </c>
      <c r="B37" s="453" t="s">
        <v>1069</v>
      </c>
      <c r="C37" s="454" t="s">
        <v>1070</v>
      </c>
      <c r="D37" s="454" t="s">
        <v>1071</v>
      </c>
      <c r="E37" s="455" t="s">
        <v>1072</v>
      </c>
      <c r="F37" s="455" t="s">
        <v>22</v>
      </c>
      <c r="G37" s="455" t="s">
        <v>1073</v>
      </c>
      <c r="H37" s="456" t="s">
        <v>1074</v>
      </c>
      <c r="I37" s="451">
        <v>20000</v>
      </c>
      <c r="J37" s="451">
        <v>0</v>
      </c>
      <c r="K37" s="451">
        <v>0</v>
      </c>
      <c r="L37" s="451">
        <v>0</v>
      </c>
      <c r="M37" s="451">
        <v>0</v>
      </c>
      <c r="N37" s="461" t="s">
        <v>311</v>
      </c>
      <c r="O37" s="451">
        <f t="shared" ref="O37:O54" si="8">+I37-(SUM(J37:N37))</f>
        <v>20000</v>
      </c>
    </row>
    <row r="38" spans="1:15" s="228" customFormat="1" ht="24" customHeight="1" x14ac:dyDescent="0.2">
      <c r="A38" s="452">
        <v>1</v>
      </c>
      <c r="B38" s="453" t="s">
        <v>1123</v>
      </c>
      <c r="C38" s="454" t="s">
        <v>1124</v>
      </c>
      <c r="D38" s="454" t="s">
        <v>1125</v>
      </c>
      <c r="E38" s="455" t="s">
        <v>1126</v>
      </c>
      <c r="F38" s="455" t="s">
        <v>22</v>
      </c>
      <c r="G38" s="455" t="s">
        <v>1127</v>
      </c>
      <c r="H38" s="456" t="s">
        <v>1128</v>
      </c>
      <c r="I38" s="451">
        <v>200000</v>
      </c>
      <c r="J38" s="451">
        <v>0</v>
      </c>
      <c r="K38" s="451">
        <v>0</v>
      </c>
      <c r="L38" s="451">
        <v>15000</v>
      </c>
      <c r="M38" s="451">
        <v>15000</v>
      </c>
      <c r="N38" s="451">
        <v>0</v>
      </c>
      <c r="O38" s="451">
        <f t="shared" si="8"/>
        <v>170000</v>
      </c>
    </row>
    <row r="39" spans="1:15" s="228" customFormat="1" ht="24" customHeight="1" x14ac:dyDescent="0.2">
      <c r="A39" s="452">
        <v>4</v>
      </c>
      <c r="B39" s="453" t="s">
        <v>1141</v>
      </c>
      <c r="C39" s="454" t="s">
        <v>1142</v>
      </c>
      <c r="D39" s="454" t="s">
        <v>1143</v>
      </c>
      <c r="E39" s="455" t="s">
        <v>492</v>
      </c>
      <c r="F39" s="455" t="s">
        <v>22</v>
      </c>
      <c r="G39" s="455" t="s">
        <v>1144</v>
      </c>
      <c r="H39" s="456" t="s">
        <v>1145</v>
      </c>
      <c r="I39" s="451">
        <v>139650</v>
      </c>
      <c r="J39" s="451">
        <v>6982.5</v>
      </c>
      <c r="K39" s="451">
        <v>6982.5</v>
      </c>
      <c r="L39" s="451">
        <v>0</v>
      </c>
      <c r="M39" s="451">
        <v>0</v>
      </c>
      <c r="N39" s="451">
        <v>0</v>
      </c>
      <c r="O39" s="451">
        <f t="shared" si="8"/>
        <v>125685</v>
      </c>
    </row>
    <row r="40" spans="1:15" s="228" customFormat="1" ht="24" customHeight="1" x14ac:dyDescent="0.2">
      <c r="A40" s="452">
        <v>5</v>
      </c>
      <c r="B40" s="453" t="s">
        <v>960</v>
      </c>
      <c r="C40" s="454" t="s">
        <v>1146</v>
      </c>
      <c r="D40" s="454" t="s">
        <v>1147</v>
      </c>
      <c r="E40" s="455" t="s">
        <v>451</v>
      </c>
      <c r="F40" s="455" t="s">
        <v>22</v>
      </c>
      <c r="G40" s="455" t="s">
        <v>452</v>
      </c>
      <c r="H40" s="456" t="s">
        <v>1148</v>
      </c>
      <c r="I40" s="451">
        <v>198905.68</v>
      </c>
      <c r="J40" s="451">
        <v>9945.2900000000009</v>
      </c>
      <c r="K40" s="451">
        <v>9945.2900000000009</v>
      </c>
      <c r="L40" s="451">
        <v>0</v>
      </c>
      <c r="M40" s="451">
        <v>0</v>
      </c>
      <c r="N40" s="451">
        <v>0</v>
      </c>
      <c r="O40" s="451">
        <f t="shared" si="8"/>
        <v>179015.09999999998</v>
      </c>
    </row>
    <row r="41" spans="1:15" s="228" customFormat="1" ht="24" customHeight="1" x14ac:dyDescent="0.2">
      <c r="A41" s="452">
        <v>6</v>
      </c>
      <c r="B41" s="453" t="s">
        <v>976</v>
      </c>
      <c r="C41" s="454" t="s">
        <v>1149</v>
      </c>
      <c r="D41" s="454" t="s">
        <v>1150</v>
      </c>
      <c r="E41" s="455" t="s">
        <v>1151</v>
      </c>
      <c r="F41" s="455" t="s">
        <v>22</v>
      </c>
      <c r="G41" s="455" t="s">
        <v>1152</v>
      </c>
      <c r="H41" s="456" t="s">
        <v>1153</v>
      </c>
      <c r="I41" s="451">
        <v>172000</v>
      </c>
      <c r="J41" s="451">
        <v>0</v>
      </c>
      <c r="K41" s="451">
        <v>0</v>
      </c>
      <c r="L41" s="451">
        <v>15000</v>
      </c>
      <c r="M41" s="451">
        <v>15000</v>
      </c>
      <c r="N41" s="451">
        <v>0</v>
      </c>
      <c r="O41" s="451">
        <f t="shared" si="8"/>
        <v>142000</v>
      </c>
    </row>
    <row r="42" spans="1:15" s="228" customFormat="1" ht="24" customHeight="1" x14ac:dyDescent="0.2">
      <c r="A42" s="452">
        <v>7</v>
      </c>
      <c r="B42" s="453" t="s">
        <v>1154</v>
      </c>
      <c r="C42" s="454" t="s">
        <v>1155</v>
      </c>
      <c r="D42" s="454" t="s">
        <v>1156</v>
      </c>
      <c r="E42" s="455" t="s">
        <v>1157</v>
      </c>
      <c r="F42" s="455" t="s">
        <v>22</v>
      </c>
      <c r="G42" s="455" t="s">
        <v>1103</v>
      </c>
      <c r="H42" s="456" t="s">
        <v>1158</v>
      </c>
      <c r="I42" s="451">
        <v>118900</v>
      </c>
      <c r="J42" s="451">
        <v>0</v>
      </c>
      <c r="K42" s="451">
        <v>0</v>
      </c>
      <c r="L42" s="451">
        <v>59450</v>
      </c>
      <c r="M42" s="451">
        <v>59450</v>
      </c>
      <c r="N42" s="451">
        <v>0</v>
      </c>
      <c r="O42" s="451">
        <f t="shared" si="8"/>
        <v>0</v>
      </c>
    </row>
    <row r="43" spans="1:15" s="228" customFormat="1" ht="24" customHeight="1" x14ac:dyDescent="0.2">
      <c r="A43" s="452">
        <v>8</v>
      </c>
      <c r="B43" s="453" t="s">
        <v>1159</v>
      </c>
      <c r="C43" s="454" t="s">
        <v>1160</v>
      </c>
      <c r="D43" s="454" t="s">
        <v>1161</v>
      </c>
      <c r="E43" s="455" t="s">
        <v>451</v>
      </c>
      <c r="F43" s="455" t="s">
        <v>22</v>
      </c>
      <c r="G43" s="455" t="s">
        <v>1162</v>
      </c>
      <c r="H43" s="456" t="s">
        <v>1163</v>
      </c>
      <c r="I43" s="451">
        <v>156750</v>
      </c>
      <c r="J43" s="451">
        <v>0</v>
      </c>
      <c r="K43" s="451">
        <v>0</v>
      </c>
      <c r="L43" s="451">
        <v>7837.5</v>
      </c>
      <c r="M43" s="451">
        <v>7837.5</v>
      </c>
      <c r="N43" s="451">
        <v>0</v>
      </c>
      <c r="O43" s="451">
        <f t="shared" si="8"/>
        <v>141075</v>
      </c>
    </row>
    <row r="44" spans="1:15" s="228" customFormat="1" ht="24" customHeight="1" x14ac:dyDescent="0.2">
      <c r="A44" s="452">
        <v>11</v>
      </c>
      <c r="B44" s="453" t="s">
        <v>1025</v>
      </c>
      <c r="C44" s="454" t="s">
        <v>1175</v>
      </c>
      <c r="D44" s="454" t="s">
        <v>1176</v>
      </c>
      <c r="E44" s="455" t="s">
        <v>1177</v>
      </c>
      <c r="F44" s="455" t="s">
        <v>22</v>
      </c>
      <c r="G44" s="455" t="s">
        <v>1178</v>
      </c>
      <c r="H44" s="456" t="s">
        <v>1179</v>
      </c>
      <c r="I44" s="451">
        <v>30000</v>
      </c>
      <c r="J44" s="451">
        <v>1500</v>
      </c>
      <c r="K44" s="451">
        <v>1500</v>
      </c>
      <c r="L44" s="451">
        <v>0</v>
      </c>
      <c r="M44" s="451">
        <v>0</v>
      </c>
      <c r="N44" s="451">
        <v>0</v>
      </c>
      <c r="O44" s="451">
        <f t="shared" si="8"/>
        <v>27000</v>
      </c>
    </row>
    <row r="45" spans="1:15" s="228" customFormat="1" ht="24" customHeight="1" x14ac:dyDescent="0.2">
      <c r="A45" s="452">
        <v>12</v>
      </c>
      <c r="B45" s="453" t="s">
        <v>1025</v>
      </c>
      <c r="C45" s="454" t="s">
        <v>1175</v>
      </c>
      <c r="D45" s="454" t="s">
        <v>1176</v>
      </c>
      <c r="E45" s="455" t="s">
        <v>1180</v>
      </c>
      <c r="F45" s="455" t="s">
        <v>22</v>
      </c>
      <c r="G45" s="455" t="s">
        <v>1178</v>
      </c>
      <c r="H45" s="456" t="s">
        <v>1181</v>
      </c>
      <c r="I45" s="451">
        <v>30000</v>
      </c>
      <c r="J45" s="451">
        <v>1500</v>
      </c>
      <c r="K45" s="451">
        <v>1500</v>
      </c>
      <c r="L45" s="451">
        <v>0</v>
      </c>
      <c r="M45" s="451">
        <v>0</v>
      </c>
      <c r="N45" s="451">
        <v>0</v>
      </c>
      <c r="O45" s="451">
        <f t="shared" si="8"/>
        <v>27000</v>
      </c>
    </row>
    <row r="46" spans="1:15" s="228" customFormat="1" ht="24" customHeight="1" x14ac:dyDescent="0.2">
      <c r="A46" s="452">
        <v>14</v>
      </c>
      <c r="B46" s="453" t="s">
        <v>1030</v>
      </c>
      <c r="C46" s="454" t="s">
        <v>1190</v>
      </c>
      <c r="D46" s="454" t="s">
        <v>1191</v>
      </c>
      <c r="E46" s="455" t="s">
        <v>1192</v>
      </c>
      <c r="F46" s="455" t="s">
        <v>22</v>
      </c>
      <c r="G46" s="455" t="s">
        <v>1162</v>
      </c>
      <c r="H46" s="456" t="s">
        <v>1193</v>
      </c>
      <c r="I46" s="451">
        <v>93100</v>
      </c>
      <c r="J46" s="451">
        <v>4655</v>
      </c>
      <c r="K46" s="451">
        <v>4655</v>
      </c>
      <c r="L46" s="451">
        <v>0</v>
      </c>
      <c r="M46" s="451">
        <v>0</v>
      </c>
      <c r="N46" s="451">
        <v>0</v>
      </c>
      <c r="O46" s="451">
        <f t="shared" si="8"/>
        <v>83790</v>
      </c>
    </row>
    <row r="47" spans="1:15" s="228" customFormat="1" ht="24" customHeight="1" x14ac:dyDescent="0.2">
      <c r="A47" s="452">
        <v>24</v>
      </c>
      <c r="B47" s="453" t="s">
        <v>1075</v>
      </c>
      <c r="C47" s="454" t="s">
        <v>1076</v>
      </c>
      <c r="D47" s="454" t="s">
        <v>1077</v>
      </c>
      <c r="E47" s="455" t="s">
        <v>1226</v>
      </c>
      <c r="F47" s="455" t="s">
        <v>22</v>
      </c>
      <c r="G47" s="455" t="s">
        <v>1079</v>
      </c>
      <c r="H47" s="456" t="s">
        <v>1227</v>
      </c>
      <c r="I47" s="451">
        <v>300000</v>
      </c>
      <c r="J47" s="451">
        <v>0</v>
      </c>
      <c r="K47" s="451">
        <v>0</v>
      </c>
      <c r="L47" s="451">
        <v>0</v>
      </c>
      <c r="M47" s="451">
        <v>0</v>
      </c>
      <c r="N47" s="461" t="s">
        <v>311</v>
      </c>
      <c r="O47" s="451">
        <f t="shared" si="8"/>
        <v>300000</v>
      </c>
    </row>
    <row r="48" spans="1:15" s="228" customFormat="1" ht="24" customHeight="1" x14ac:dyDescent="0.2">
      <c r="A48" s="452">
        <v>26</v>
      </c>
      <c r="B48" s="453" t="s">
        <v>1231</v>
      </c>
      <c r="C48" s="454" t="s">
        <v>1232</v>
      </c>
      <c r="D48" s="454" t="s">
        <v>1233</v>
      </c>
      <c r="E48" s="455" t="s">
        <v>1234</v>
      </c>
      <c r="F48" s="455" t="s">
        <v>22</v>
      </c>
      <c r="G48" s="455" t="s">
        <v>1235</v>
      </c>
      <c r="H48" s="456" t="s">
        <v>1236</v>
      </c>
      <c r="I48" s="451">
        <v>2137413</v>
      </c>
      <c r="J48" s="451">
        <v>0</v>
      </c>
      <c r="K48" s="451">
        <v>0</v>
      </c>
      <c r="L48" s="451">
        <f>80500/2</f>
        <v>40250</v>
      </c>
      <c r="M48" s="451">
        <f>80500/2</f>
        <v>40250</v>
      </c>
      <c r="N48" s="451">
        <v>0</v>
      </c>
      <c r="O48" s="451">
        <f t="shared" si="8"/>
        <v>2056913</v>
      </c>
    </row>
    <row r="49" spans="1:15" s="228" customFormat="1" ht="24" customHeight="1" x14ac:dyDescent="0.2">
      <c r="A49" s="452">
        <v>27</v>
      </c>
      <c r="B49" s="453" t="s">
        <v>1237</v>
      </c>
      <c r="C49" s="454" t="s">
        <v>1238</v>
      </c>
      <c r="D49" s="454" t="s">
        <v>1239</v>
      </c>
      <c r="E49" s="455" t="s">
        <v>451</v>
      </c>
      <c r="F49" s="455" t="s">
        <v>22</v>
      </c>
      <c r="G49" s="455" t="s">
        <v>1162</v>
      </c>
      <c r="H49" s="456" t="s">
        <v>1240</v>
      </c>
      <c r="I49" s="451">
        <v>339625</v>
      </c>
      <c r="J49" s="451">
        <v>0</v>
      </c>
      <c r="K49" s="451">
        <v>0</v>
      </c>
      <c r="L49" s="451">
        <v>15762.5</v>
      </c>
      <c r="M49" s="451">
        <v>15762.5</v>
      </c>
      <c r="N49" s="451">
        <v>0</v>
      </c>
      <c r="O49" s="451">
        <f t="shared" si="8"/>
        <v>308100</v>
      </c>
    </row>
    <row r="50" spans="1:15" s="228" customFormat="1" ht="24" customHeight="1" x14ac:dyDescent="0.2">
      <c r="A50" s="452">
        <v>31</v>
      </c>
      <c r="B50" s="453" t="s">
        <v>1096</v>
      </c>
      <c r="C50" s="454" t="s">
        <v>1256</v>
      </c>
      <c r="D50" s="454" t="s">
        <v>1257</v>
      </c>
      <c r="E50" s="455" t="s">
        <v>1192</v>
      </c>
      <c r="F50" s="455" t="s">
        <v>22</v>
      </c>
      <c r="G50" s="455" t="s">
        <v>1162</v>
      </c>
      <c r="H50" s="456" t="s">
        <v>1258</v>
      </c>
      <c r="I50" s="451">
        <f>93100+24500</f>
        <v>117600</v>
      </c>
      <c r="J50" s="451">
        <v>5880</v>
      </c>
      <c r="K50" s="451">
        <v>5880</v>
      </c>
      <c r="L50" s="451">
        <v>0</v>
      </c>
      <c r="M50" s="451">
        <v>0</v>
      </c>
      <c r="N50" s="451">
        <v>0</v>
      </c>
      <c r="O50" s="451">
        <f t="shared" si="8"/>
        <v>105840</v>
      </c>
    </row>
    <row r="51" spans="1:15" s="228" customFormat="1" ht="24" customHeight="1" x14ac:dyDescent="0.2">
      <c r="A51" s="452">
        <v>33</v>
      </c>
      <c r="B51" s="453" t="s">
        <v>1097</v>
      </c>
      <c r="C51" s="454" t="s">
        <v>1262</v>
      </c>
      <c r="D51" s="454" t="s">
        <v>1263</v>
      </c>
      <c r="E51" s="455" t="s">
        <v>1180</v>
      </c>
      <c r="F51" s="455" t="s">
        <v>22</v>
      </c>
      <c r="G51" s="455" t="s">
        <v>1264</v>
      </c>
      <c r="H51" s="456" t="s">
        <v>1265</v>
      </c>
      <c r="I51" s="451">
        <v>20000</v>
      </c>
      <c r="J51" s="451">
        <v>1000</v>
      </c>
      <c r="K51" s="451">
        <v>1000</v>
      </c>
      <c r="L51" s="451">
        <v>0</v>
      </c>
      <c r="M51" s="451">
        <v>0</v>
      </c>
      <c r="N51" s="451">
        <v>0</v>
      </c>
      <c r="O51" s="451">
        <f t="shared" si="8"/>
        <v>18000</v>
      </c>
    </row>
    <row r="52" spans="1:15" s="228" customFormat="1" ht="24" customHeight="1" x14ac:dyDescent="0.2">
      <c r="A52" s="452">
        <v>35</v>
      </c>
      <c r="B52" s="453" t="s">
        <v>1097</v>
      </c>
      <c r="C52" s="454" t="s">
        <v>1271</v>
      </c>
      <c r="D52" s="454" t="s">
        <v>1272</v>
      </c>
      <c r="E52" s="455" t="s">
        <v>1273</v>
      </c>
      <c r="F52" s="455" t="s">
        <v>22</v>
      </c>
      <c r="G52" s="455" t="s">
        <v>1162</v>
      </c>
      <c r="H52" s="456" t="s">
        <v>1274</v>
      </c>
      <c r="I52" s="451">
        <v>321740</v>
      </c>
      <c r="J52" s="451">
        <v>16082.5</v>
      </c>
      <c r="K52" s="451">
        <v>16082.5</v>
      </c>
      <c r="L52" s="451">
        <v>0</v>
      </c>
      <c r="M52" s="451">
        <v>0</v>
      </c>
      <c r="N52" s="451">
        <v>0</v>
      </c>
      <c r="O52" s="451">
        <f t="shared" si="8"/>
        <v>289575</v>
      </c>
    </row>
    <row r="53" spans="1:15" s="228" customFormat="1" ht="24" customHeight="1" x14ac:dyDescent="0.2">
      <c r="A53" s="452">
        <v>36</v>
      </c>
      <c r="B53" s="453" t="s">
        <v>1097</v>
      </c>
      <c r="C53" s="460" t="s">
        <v>1109</v>
      </c>
      <c r="D53" s="454" t="s">
        <v>1275</v>
      </c>
      <c r="E53" s="455" t="s">
        <v>1273</v>
      </c>
      <c r="F53" s="455" t="s">
        <v>22</v>
      </c>
      <c r="G53" s="455" t="s">
        <v>1162</v>
      </c>
      <c r="H53" s="456" t="s">
        <v>1276</v>
      </c>
      <c r="I53" s="451">
        <v>10</v>
      </c>
      <c r="J53" s="451">
        <v>5</v>
      </c>
      <c r="K53" s="451">
        <v>5</v>
      </c>
      <c r="L53" s="451">
        <v>0</v>
      </c>
      <c r="M53" s="451">
        <v>0</v>
      </c>
      <c r="N53" s="451">
        <v>0</v>
      </c>
      <c r="O53" s="451">
        <f t="shared" si="8"/>
        <v>0</v>
      </c>
    </row>
    <row r="54" spans="1:15" s="228" customFormat="1" ht="24" customHeight="1" x14ac:dyDescent="0.2">
      <c r="A54" s="452">
        <v>37</v>
      </c>
      <c r="B54" s="453" t="s">
        <v>1097</v>
      </c>
      <c r="C54" s="460" t="s">
        <v>1109</v>
      </c>
      <c r="D54" s="454" t="s">
        <v>1277</v>
      </c>
      <c r="E54" s="455" t="s">
        <v>451</v>
      </c>
      <c r="F54" s="455" t="s">
        <v>22</v>
      </c>
      <c r="G54" s="455" t="s">
        <v>1278</v>
      </c>
      <c r="H54" s="456" t="s">
        <v>1279</v>
      </c>
      <c r="I54" s="451">
        <v>120000</v>
      </c>
      <c r="J54" s="451">
        <v>6000</v>
      </c>
      <c r="K54" s="451">
        <v>6000</v>
      </c>
      <c r="L54" s="451">
        <v>0</v>
      </c>
      <c r="M54" s="451">
        <v>0</v>
      </c>
      <c r="N54" s="451">
        <v>0</v>
      </c>
      <c r="O54" s="451">
        <f t="shared" si="8"/>
        <v>108000</v>
      </c>
    </row>
    <row r="55" spans="1:15" s="228" customFormat="1" ht="24" customHeight="1" x14ac:dyDescent="0.2">
      <c r="A55" s="465" t="s">
        <v>1229</v>
      </c>
      <c r="B55" s="466"/>
      <c r="C55" s="472"/>
      <c r="D55" s="468"/>
      <c r="E55" s="465"/>
      <c r="F55" s="465"/>
      <c r="G55" s="465"/>
      <c r="H55" s="469"/>
      <c r="I55" s="470">
        <f>SUM(I56)</f>
        <v>291000</v>
      </c>
      <c r="J55" s="470">
        <f t="shared" ref="J55:O55" si="9">SUM(J56)</f>
        <v>0</v>
      </c>
      <c r="K55" s="470">
        <f t="shared" si="9"/>
        <v>0</v>
      </c>
      <c r="L55" s="470">
        <f t="shared" si="9"/>
        <v>0</v>
      </c>
      <c r="M55" s="470">
        <f t="shared" si="9"/>
        <v>0</v>
      </c>
      <c r="N55" s="470">
        <f t="shared" si="9"/>
        <v>0</v>
      </c>
      <c r="O55" s="470">
        <f t="shared" si="9"/>
        <v>291000</v>
      </c>
    </row>
    <row r="56" spans="1:15" s="228" customFormat="1" ht="24" customHeight="1" x14ac:dyDescent="0.2">
      <c r="A56" s="452">
        <v>25</v>
      </c>
      <c r="B56" s="453" t="s">
        <v>1075</v>
      </c>
      <c r="C56" s="454" t="s">
        <v>1076</v>
      </c>
      <c r="D56" s="454" t="s">
        <v>1077</v>
      </c>
      <c r="E56" s="455" t="s">
        <v>1228</v>
      </c>
      <c r="F56" s="455" t="s">
        <v>1229</v>
      </c>
      <c r="G56" s="455" t="s">
        <v>1079</v>
      </c>
      <c r="H56" s="456" t="s">
        <v>1230</v>
      </c>
      <c r="I56" s="451">
        <v>291000</v>
      </c>
      <c r="J56" s="451">
        <v>0</v>
      </c>
      <c r="K56" s="451">
        <v>0</v>
      </c>
      <c r="L56" s="451">
        <v>0</v>
      </c>
      <c r="M56" s="451">
        <v>0</v>
      </c>
      <c r="N56" s="461" t="s">
        <v>311</v>
      </c>
      <c r="O56" s="451">
        <f>+I56-(SUM(J56:N56))</f>
        <v>291000</v>
      </c>
    </row>
    <row r="57" spans="1:15" s="228" customFormat="1" ht="24" customHeight="1" x14ac:dyDescent="0.2">
      <c r="A57" s="465" t="s">
        <v>19</v>
      </c>
      <c r="B57" s="466"/>
      <c r="C57" s="468"/>
      <c r="D57" s="468"/>
      <c r="E57" s="465"/>
      <c r="F57" s="465"/>
      <c r="G57" s="465"/>
      <c r="H57" s="469"/>
      <c r="I57" s="470">
        <f>SUM(I58:I71)</f>
        <v>3662847</v>
      </c>
      <c r="J57" s="470">
        <f t="shared" ref="J57:O57" si="10">SUM(J58:J71)</f>
        <v>179771.6</v>
      </c>
      <c r="K57" s="470">
        <f t="shared" si="10"/>
        <v>179771.6</v>
      </c>
      <c r="L57" s="470">
        <f t="shared" si="10"/>
        <v>33707.5</v>
      </c>
      <c r="M57" s="470">
        <f t="shared" si="10"/>
        <v>33707.5</v>
      </c>
      <c r="N57" s="470">
        <f t="shared" si="10"/>
        <v>0</v>
      </c>
      <c r="O57" s="470">
        <f t="shared" si="10"/>
        <v>3235888.8</v>
      </c>
    </row>
    <row r="58" spans="1:15" s="228" customFormat="1" ht="24" customHeight="1" x14ac:dyDescent="0.2">
      <c r="A58" s="452">
        <v>9</v>
      </c>
      <c r="B58" s="453" t="s">
        <v>960</v>
      </c>
      <c r="C58" s="454" t="s">
        <v>961</v>
      </c>
      <c r="D58" s="454" t="s">
        <v>962</v>
      </c>
      <c r="E58" s="455" t="s">
        <v>963</v>
      </c>
      <c r="F58" s="455" t="s">
        <v>19</v>
      </c>
      <c r="G58" s="455" t="s">
        <v>964</v>
      </c>
      <c r="H58" s="456" t="s">
        <v>965</v>
      </c>
      <c r="I58" s="451">
        <v>570000</v>
      </c>
      <c r="J58" s="451">
        <v>28500</v>
      </c>
      <c r="K58" s="451">
        <v>28500</v>
      </c>
      <c r="L58" s="451">
        <v>0</v>
      </c>
      <c r="M58" s="451">
        <v>0</v>
      </c>
      <c r="N58" s="451">
        <v>0</v>
      </c>
      <c r="O58" s="451">
        <f t="shared" ref="O58:O71" si="11">+I58-(SUM(J58:N58))</f>
        <v>513000</v>
      </c>
    </row>
    <row r="59" spans="1:15" s="228" customFormat="1" ht="24" customHeight="1" x14ac:dyDescent="0.2">
      <c r="A59" s="452">
        <v>17</v>
      </c>
      <c r="B59" s="453" t="s">
        <v>988</v>
      </c>
      <c r="C59" s="454" t="s">
        <v>989</v>
      </c>
      <c r="D59" s="454" t="s">
        <v>990</v>
      </c>
      <c r="E59" s="455" t="s">
        <v>963</v>
      </c>
      <c r="F59" s="455" t="s">
        <v>19</v>
      </c>
      <c r="G59" s="455" t="s">
        <v>964</v>
      </c>
      <c r="H59" s="456" t="s">
        <v>991</v>
      </c>
      <c r="I59" s="451">
        <v>380000</v>
      </c>
      <c r="J59" s="451">
        <v>19000</v>
      </c>
      <c r="K59" s="451">
        <v>19000</v>
      </c>
      <c r="L59" s="451">
        <v>0</v>
      </c>
      <c r="M59" s="451">
        <v>0</v>
      </c>
      <c r="N59" s="451">
        <v>0</v>
      </c>
      <c r="O59" s="451">
        <f t="shared" si="11"/>
        <v>342000</v>
      </c>
    </row>
    <row r="60" spans="1:15" s="228" customFormat="1" ht="24" customHeight="1" x14ac:dyDescent="0.2">
      <c r="A60" s="452">
        <v>18</v>
      </c>
      <c r="B60" s="453" t="s">
        <v>988</v>
      </c>
      <c r="C60" s="454" t="s">
        <v>992</v>
      </c>
      <c r="D60" s="454" t="s">
        <v>990</v>
      </c>
      <c r="E60" s="455" t="s">
        <v>963</v>
      </c>
      <c r="F60" s="455" t="s">
        <v>19</v>
      </c>
      <c r="G60" s="455" t="s">
        <v>964</v>
      </c>
      <c r="H60" s="456" t="s">
        <v>993</v>
      </c>
      <c r="I60" s="451">
        <v>20000</v>
      </c>
      <c r="J60" s="451">
        <v>1000</v>
      </c>
      <c r="K60" s="451">
        <v>1000</v>
      </c>
      <c r="L60" s="451">
        <v>0</v>
      </c>
      <c r="M60" s="451">
        <v>0</v>
      </c>
      <c r="N60" s="451">
        <v>0</v>
      </c>
      <c r="O60" s="451">
        <f t="shared" si="11"/>
        <v>18000</v>
      </c>
    </row>
    <row r="61" spans="1:15" s="228" customFormat="1" ht="24" customHeight="1" x14ac:dyDescent="0.2">
      <c r="A61" s="452">
        <v>21</v>
      </c>
      <c r="B61" s="453" t="s">
        <v>1000</v>
      </c>
      <c r="C61" s="454" t="s">
        <v>1001</v>
      </c>
      <c r="D61" s="454" t="s">
        <v>1002</v>
      </c>
      <c r="E61" s="455" t="s">
        <v>963</v>
      </c>
      <c r="F61" s="455" t="s">
        <v>19</v>
      </c>
      <c r="G61" s="455" t="s">
        <v>964</v>
      </c>
      <c r="H61" s="456" t="s">
        <v>1003</v>
      </c>
      <c r="I61" s="451">
        <v>30000</v>
      </c>
      <c r="J61" s="451">
        <v>1500</v>
      </c>
      <c r="K61" s="451">
        <v>1500</v>
      </c>
      <c r="L61" s="451">
        <v>0</v>
      </c>
      <c r="M61" s="451">
        <v>0</v>
      </c>
      <c r="N61" s="451">
        <v>0</v>
      </c>
      <c r="O61" s="451">
        <f t="shared" si="11"/>
        <v>27000</v>
      </c>
    </row>
    <row r="62" spans="1:15" s="228" customFormat="1" ht="24" customHeight="1" x14ac:dyDescent="0.2">
      <c r="A62" s="452">
        <v>22</v>
      </c>
      <c r="B62" s="453" t="s">
        <v>1004</v>
      </c>
      <c r="C62" s="454" t="s">
        <v>1005</v>
      </c>
      <c r="D62" s="454" t="s">
        <v>1006</v>
      </c>
      <c r="E62" s="455" t="s">
        <v>963</v>
      </c>
      <c r="F62" s="455" t="s">
        <v>19</v>
      </c>
      <c r="G62" s="455" t="s">
        <v>964</v>
      </c>
      <c r="H62" s="456" t="s">
        <v>1007</v>
      </c>
      <c r="I62" s="451">
        <v>30000</v>
      </c>
      <c r="J62" s="451">
        <v>1500</v>
      </c>
      <c r="K62" s="451">
        <v>1500</v>
      </c>
      <c r="L62" s="451">
        <v>0</v>
      </c>
      <c r="M62" s="451">
        <v>0</v>
      </c>
      <c r="N62" s="451">
        <v>0</v>
      </c>
      <c r="O62" s="451">
        <f t="shared" si="11"/>
        <v>27000</v>
      </c>
    </row>
    <row r="63" spans="1:15" s="228" customFormat="1" ht="24" customHeight="1" x14ac:dyDescent="0.2">
      <c r="A63" s="452">
        <v>23</v>
      </c>
      <c r="B63" s="453" t="s">
        <v>1004</v>
      </c>
      <c r="C63" s="454" t="s">
        <v>1008</v>
      </c>
      <c r="D63" s="454" t="s">
        <v>1006</v>
      </c>
      <c r="E63" s="455" t="s">
        <v>963</v>
      </c>
      <c r="F63" s="455" t="s">
        <v>19</v>
      </c>
      <c r="G63" s="455" t="s">
        <v>964</v>
      </c>
      <c r="H63" s="456" t="s">
        <v>1009</v>
      </c>
      <c r="I63" s="451">
        <v>20000</v>
      </c>
      <c r="J63" s="451">
        <v>1000</v>
      </c>
      <c r="K63" s="451">
        <v>1000</v>
      </c>
      <c r="L63" s="451">
        <v>0</v>
      </c>
      <c r="M63" s="451">
        <v>0</v>
      </c>
      <c r="N63" s="451">
        <v>0</v>
      </c>
      <c r="O63" s="451">
        <f t="shared" si="11"/>
        <v>18000</v>
      </c>
    </row>
    <row r="64" spans="1:15" s="228" customFormat="1" ht="24" customHeight="1" x14ac:dyDescent="0.2">
      <c r="A64" s="452">
        <v>24</v>
      </c>
      <c r="B64" s="453" t="s">
        <v>1010</v>
      </c>
      <c r="C64" s="454" t="s">
        <v>1011</v>
      </c>
      <c r="D64" s="454" t="s">
        <v>1012</v>
      </c>
      <c r="E64" s="455" t="s">
        <v>199</v>
      </c>
      <c r="F64" s="455" t="s">
        <v>19</v>
      </c>
      <c r="G64" s="455" t="s">
        <v>1013</v>
      </c>
      <c r="H64" s="456" t="s">
        <v>1014</v>
      </c>
      <c r="I64" s="451">
        <v>70000</v>
      </c>
      <c r="J64" s="451">
        <v>3500</v>
      </c>
      <c r="K64" s="451">
        <v>3500</v>
      </c>
      <c r="L64" s="451">
        <v>0</v>
      </c>
      <c r="M64" s="451">
        <v>0</v>
      </c>
      <c r="N64" s="451">
        <v>0</v>
      </c>
      <c r="O64" s="451">
        <f t="shared" si="11"/>
        <v>63000</v>
      </c>
    </row>
    <row r="65" spans="1:16" s="228" customFormat="1" ht="24" customHeight="1" x14ac:dyDescent="0.2">
      <c r="A65" s="452">
        <v>27</v>
      </c>
      <c r="B65" s="453" t="s">
        <v>1025</v>
      </c>
      <c r="C65" s="454" t="s">
        <v>1026</v>
      </c>
      <c r="D65" s="454" t="s">
        <v>1027</v>
      </c>
      <c r="E65" s="455" t="s">
        <v>963</v>
      </c>
      <c r="F65" s="455" t="s">
        <v>19</v>
      </c>
      <c r="G65" s="455" t="s">
        <v>1028</v>
      </c>
      <c r="H65" s="456" t="s">
        <v>1029</v>
      </c>
      <c r="I65" s="451">
        <v>1000000</v>
      </c>
      <c r="J65" s="451">
        <v>50000</v>
      </c>
      <c r="K65" s="451">
        <v>50000</v>
      </c>
      <c r="L65" s="451">
        <v>0</v>
      </c>
      <c r="M65" s="451">
        <v>0</v>
      </c>
      <c r="N65" s="451">
        <v>0</v>
      </c>
      <c r="O65" s="451">
        <f t="shared" si="11"/>
        <v>900000</v>
      </c>
    </row>
    <row r="66" spans="1:16" s="228" customFormat="1" ht="24" customHeight="1" x14ac:dyDescent="0.2">
      <c r="A66" s="452">
        <v>30</v>
      </c>
      <c r="B66" s="453" t="s">
        <v>1041</v>
      </c>
      <c r="C66" s="454" t="s">
        <v>1042</v>
      </c>
      <c r="D66" s="454" t="s">
        <v>1043</v>
      </c>
      <c r="E66" s="455" t="s">
        <v>1044</v>
      </c>
      <c r="F66" s="455" t="s">
        <v>19</v>
      </c>
      <c r="G66" s="455" t="s">
        <v>1045</v>
      </c>
      <c r="H66" s="456" t="s">
        <v>1046</v>
      </c>
      <c r="I66" s="451">
        <v>60432</v>
      </c>
      <c r="J66" s="451">
        <v>3021.6000000000004</v>
      </c>
      <c r="K66" s="451">
        <v>3021.6000000000004</v>
      </c>
      <c r="L66" s="451">
        <v>0</v>
      </c>
      <c r="M66" s="451">
        <v>0</v>
      </c>
      <c r="N66" s="451">
        <v>0</v>
      </c>
      <c r="O66" s="451">
        <f t="shared" si="11"/>
        <v>54388.800000000003</v>
      </c>
    </row>
    <row r="67" spans="1:16" s="228" customFormat="1" ht="24" customHeight="1" x14ac:dyDescent="0.2">
      <c r="A67" s="452">
        <v>34</v>
      </c>
      <c r="B67" s="453" t="s">
        <v>1060</v>
      </c>
      <c r="C67" s="454" t="s">
        <v>1061</v>
      </c>
      <c r="D67" s="454" t="s">
        <v>1062</v>
      </c>
      <c r="E67" s="455" t="s">
        <v>199</v>
      </c>
      <c r="F67" s="455" t="s">
        <v>19</v>
      </c>
      <c r="G67" s="455" t="s">
        <v>1063</v>
      </c>
      <c r="H67" s="456" t="s">
        <v>1064</v>
      </c>
      <c r="I67" s="451">
        <v>275000</v>
      </c>
      <c r="J67" s="451">
        <v>13750</v>
      </c>
      <c r="K67" s="451">
        <v>13750</v>
      </c>
      <c r="L67" s="451">
        <v>0</v>
      </c>
      <c r="M67" s="451">
        <v>0</v>
      </c>
      <c r="N67" s="451">
        <v>0</v>
      </c>
      <c r="O67" s="451">
        <f t="shared" si="11"/>
        <v>247500</v>
      </c>
    </row>
    <row r="68" spans="1:16" s="228" customFormat="1" ht="24" customHeight="1" x14ac:dyDescent="0.2">
      <c r="A68" s="452">
        <v>38</v>
      </c>
      <c r="B68" s="453" t="s">
        <v>1081</v>
      </c>
      <c r="C68" s="454" t="s">
        <v>1082</v>
      </c>
      <c r="D68" s="454" t="s">
        <v>1083</v>
      </c>
      <c r="E68" s="455" t="s">
        <v>963</v>
      </c>
      <c r="F68" s="455" t="s">
        <v>19</v>
      </c>
      <c r="G68" s="455" t="s">
        <v>369</v>
      </c>
      <c r="H68" s="456" t="s">
        <v>1084</v>
      </c>
      <c r="I68" s="451">
        <v>427500</v>
      </c>
      <c r="J68" s="451">
        <v>21375</v>
      </c>
      <c r="K68" s="451">
        <v>21375</v>
      </c>
      <c r="L68" s="451">
        <v>0</v>
      </c>
      <c r="M68" s="451">
        <v>0</v>
      </c>
      <c r="N68" s="451">
        <v>0</v>
      </c>
      <c r="O68" s="451">
        <f t="shared" si="11"/>
        <v>384750</v>
      </c>
    </row>
    <row r="69" spans="1:16" s="228" customFormat="1" ht="24" customHeight="1" x14ac:dyDescent="0.2">
      <c r="A69" s="452">
        <v>43</v>
      </c>
      <c r="B69" s="453" t="s">
        <v>1097</v>
      </c>
      <c r="C69" s="454" t="s">
        <v>1098</v>
      </c>
      <c r="D69" s="454" t="s">
        <v>1099</v>
      </c>
      <c r="E69" s="455" t="s">
        <v>963</v>
      </c>
      <c r="F69" s="455" t="s">
        <v>19</v>
      </c>
      <c r="G69" s="455" t="s">
        <v>964</v>
      </c>
      <c r="H69" s="456" t="s">
        <v>1100</v>
      </c>
      <c r="I69" s="451">
        <v>427500</v>
      </c>
      <c r="J69" s="451">
        <v>21375</v>
      </c>
      <c r="K69" s="451">
        <v>21375</v>
      </c>
      <c r="L69" s="451">
        <v>0</v>
      </c>
      <c r="M69" s="451">
        <v>0</v>
      </c>
      <c r="N69" s="451">
        <v>0</v>
      </c>
      <c r="O69" s="451">
        <f t="shared" si="11"/>
        <v>384750</v>
      </c>
    </row>
    <row r="70" spans="1:16" s="228" customFormat="1" ht="24" customHeight="1" x14ac:dyDescent="0.2">
      <c r="A70" s="452">
        <v>45</v>
      </c>
      <c r="B70" s="453" t="s">
        <v>1097</v>
      </c>
      <c r="C70" s="454" t="s">
        <v>1105</v>
      </c>
      <c r="D70" s="454" t="s">
        <v>1106</v>
      </c>
      <c r="E70" s="455" t="s">
        <v>1107</v>
      </c>
      <c r="F70" s="455" t="s">
        <v>19</v>
      </c>
      <c r="G70" s="455" t="s">
        <v>1103</v>
      </c>
      <c r="H70" s="456" t="s">
        <v>1108</v>
      </c>
      <c r="I70" s="451">
        <v>67415</v>
      </c>
      <c r="J70" s="451">
        <v>0</v>
      </c>
      <c r="K70" s="451">
        <v>0</v>
      </c>
      <c r="L70" s="451">
        <v>33707.5</v>
      </c>
      <c r="M70" s="451">
        <v>33707.5</v>
      </c>
      <c r="N70" s="451">
        <v>0</v>
      </c>
      <c r="O70" s="451">
        <f t="shared" si="11"/>
        <v>0</v>
      </c>
    </row>
    <row r="71" spans="1:16" ht="24" customHeight="1" x14ac:dyDescent="0.45">
      <c r="A71" s="452">
        <v>23</v>
      </c>
      <c r="B71" s="453" t="s">
        <v>1222</v>
      </c>
      <c r="C71" s="454" t="s">
        <v>1223</v>
      </c>
      <c r="D71" s="454" t="s">
        <v>1224</v>
      </c>
      <c r="E71" s="455" t="s">
        <v>963</v>
      </c>
      <c r="F71" s="455" t="s">
        <v>19</v>
      </c>
      <c r="G71" s="455" t="s">
        <v>964</v>
      </c>
      <c r="H71" s="456" t="s">
        <v>1225</v>
      </c>
      <c r="I71" s="451">
        <v>285000</v>
      </c>
      <c r="J71" s="451">
        <v>14250</v>
      </c>
      <c r="K71" s="451">
        <v>14250</v>
      </c>
      <c r="L71" s="451">
        <v>0</v>
      </c>
      <c r="M71" s="451">
        <v>0</v>
      </c>
      <c r="N71" s="451">
        <v>0</v>
      </c>
      <c r="O71" s="451">
        <f t="shared" si="11"/>
        <v>256500</v>
      </c>
      <c r="P71" s="228"/>
    </row>
    <row r="72" spans="1:16" ht="24" customHeight="1" x14ac:dyDescent="0.45">
      <c r="A72" s="465" t="s">
        <v>1067</v>
      </c>
      <c r="B72" s="466"/>
      <c r="C72" s="468"/>
      <c r="D72" s="468"/>
      <c r="E72" s="465"/>
      <c r="F72" s="465"/>
      <c r="G72" s="465"/>
      <c r="H72" s="469"/>
      <c r="I72" s="470">
        <f>SUM(I73:I99)</f>
        <v>5723880</v>
      </c>
      <c r="J72" s="470">
        <f t="shared" ref="J72:O72" si="12">SUM(J73:J99)</f>
        <v>270989</v>
      </c>
      <c r="K72" s="470">
        <f t="shared" si="12"/>
        <v>270989</v>
      </c>
      <c r="L72" s="470">
        <f t="shared" si="12"/>
        <v>0</v>
      </c>
      <c r="M72" s="470">
        <f t="shared" si="12"/>
        <v>0</v>
      </c>
      <c r="N72" s="470">
        <f t="shared" si="12"/>
        <v>0</v>
      </c>
      <c r="O72" s="470">
        <f t="shared" si="12"/>
        <v>5181902</v>
      </c>
      <c r="P72" s="228"/>
    </row>
    <row r="73" spans="1:16" s="228" customFormat="1" ht="24" customHeight="1" x14ac:dyDescent="0.2">
      <c r="A73" s="452">
        <v>35</v>
      </c>
      <c r="B73" s="453" t="s">
        <v>1060</v>
      </c>
      <c r="C73" s="454" t="s">
        <v>1065</v>
      </c>
      <c r="D73" s="454" t="s">
        <v>1066</v>
      </c>
      <c r="E73" s="455" t="s">
        <v>302</v>
      </c>
      <c r="F73" s="455" t="s">
        <v>1067</v>
      </c>
      <c r="G73" s="455" t="s">
        <v>908</v>
      </c>
      <c r="H73" s="456" t="s">
        <v>1068</v>
      </c>
      <c r="I73" s="451">
        <v>35210</v>
      </c>
      <c r="J73" s="451">
        <v>17605</v>
      </c>
      <c r="K73" s="451">
        <v>17605</v>
      </c>
      <c r="L73" s="451">
        <v>0</v>
      </c>
      <c r="M73" s="451">
        <v>0</v>
      </c>
      <c r="N73" s="451">
        <v>0</v>
      </c>
      <c r="O73" s="451">
        <f t="shared" ref="O73:O99" si="13">+I73-(SUM(J73:N73))</f>
        <v>0</v>
      </c>
    </row>
    <row r="74" spans="1:16" s="228" customFormat="1" ht="24" customHeight="1" x14ac:dyDescent="0.2">
      <c r="A74" s="452">
        <v>37</v>
      </c>
      <c r="B74" s="453" t="s">
        <v>1075</v>
      </c>
      <c r="C74" s="454" t="s">
        <v>1076</v>
      </c>
      <c r="D74" s="454" t="s">
        <v>1077</v>
      </c>
      <c r="E74" s="455" t="s">
        <v>1078</v>
      </c>
      <c r="F74" s="455" t="s">
        <v>1067</v>
      </c>
      <c r="G74" s="455" t="s">
        <v>1079</v>
      </c>
      <c r="H74" s="456" t="s">
        <v>1080</v>
      </c>
      <c r="I74" s="451">
        <v>300000</v>
      </c>
      <c r="J74" s="451">
        <v>0</v>
      </c>
      <c r="K74" s="451">
        <v>0</v>
      </c>
      <c r="L74" s="451">
        <v>0</v>
      </c>
      <c r="M74" s="451">
        <v>0</v>
      </c>
      <c r="N74" s="461" t="s">
        <v>311</v>
      </c>
      <c r="O74" s="451">
        <f t="shared" si="13"/>
        <v>300000</v>
      </c>
    </row>
    <row r="75" spans="1:16" s="228" customFormat="1" ht="24" customHeight="1" x14ac:dyDescent="0.2">
      <c r="A75" s="452">
        <v>1</v>
      </c>
      <c r="B75" s="453" t="s">
        <v>935</v>
      </c>
      <c r="C75" s="454" t="s">
        <v>936</v>
      </c>
      <c r="D75" s="454" t="s">
        <v>937</v>
      </c>
      <c r="E75" s="455" t="s">
        <v>115</v>
      </c>
      <c r="F75" s="455" t="s">
        <v>117</v>
      </c>
      <c r="G75" s="455" t="s">
        <v>444</v>
      </c>
      <c r="H75" s="456" t="s">
        <v>901</v>
      </c>
      <c r="I75" s="451">
        <f>39000+90000</f>
        <v>129000</v>
      </c>
      <c r="J75" s="451">
        <f>1950+4500</f>
        <v>6450</v>
      </c>
      <c r="K75" s="451">
        <f>1950+4500</f>
        <v>6450</v>
      </c>
      <c r="L75" s="451">
        <v>0</v>
      </c>
      <c r="M75" s="451">
        <v>0</v>
      </c>
      <c r="N75" s="451">
        <v>0</v>
      </c>
      <c r="O75" s="451">
        <f t="shared" si="13"/>
        <v>116100</v>
      </c>
    </row>
    <row r="76" spans="1:16" s="228" customFormat="1" ht="24" customHeight="1" x14ac:dyDescent="0.2">
      <c r="A76" s="452">
        <v>2</v>
      </c>
      <c r="B76" s="453" t="s">
        <v>938</v>
      </c>
      <c r="C76" s="454" t="s">
        <v>939</v>
      </c>
      <c r="D76" s="454" t="s">
        <v>940</v>
      </c>
      <c r="E76" s="455" t="s">
        <v>115</v>
      </c>
      <c r="F76" s="455" t="s">
        <v>117</v>
      </c>
      <c r="G76" s="455" t="s">
        <v>941</v>
      </c>
      <c r="H76" s="456" t="s">
        <v>901</v>
      </c>
      <c r="I76" s="451">
        <f>65000+134000</f>
        <v>199000</v>
      </c>
      <c r="J76" s="451">
        <f>6700+3250</f>
        <v>9950</v>
      </c>
      <c r="K76" s="451">
        <f>6700+3250</f>
        <v>9950</v>
      </c>
      <c r="L76" s="451">
        <v>0</v>
      </c>
      <c r="M76" s="451">
        <v>0</v>
      </c>
      <c r="N76" s="451">
        <v>0</v>
      </c>
      <c r="O76" s="451">
        <f t="shared" si="13"/>
        <v>179100</v>
      </c>
    </row>
    <row r="77" spans="1:16" s="228" customFormat="1" ht="24" customHeight="1" x14ac:dyDescent="0.2">
      <c r="A77" s="452">
        <v>3</v>
      </c>
      <c r="B77" s="453">
        <v>242465</v>
      </c>
      <c r="C77" s="454" t="s">
        <v>942</v>
      </c>
      <c r="D77" s="454" t="s">
        <v>943</v>
      </c>
      <c r="E77" s="455" t="s">
        <v>115</v>
      </c>
      <c r="F77" s="455" t="s">
        <v>117</v>
      </c>
      <c r="G77" s="455" t="s">
        <v>326</v>
      </c>
      <c r="H77" s="456" t="s">
        <v>901</v>
      </c>
      <c r="I77" s="451">
        <f>48000+12000</f>
        <v>60000</v>
      </c>
      <c r="J77" s="451">
        <f>600+2400</f>
        <v>3000</v>
      </c>
      <c r="K77" s="451">
        <f>600+2400</f>
        <v>3000</v>
      </c>
      <c r="L77" s="451">
        <v>0</v>
      </c>
      <c r="M77" s="451">
        <v>0</v>
      </c>
      <c r="N77" s="451">
        <v>0</v>
      </c>
      <c r="O77" s="451">
        <f t="shared" si="13"/>
        <v>54000</v>
      </c>
    </row>
    <row r="78" spans="1:16" s="228" customFormat="1" ht="24" customHeight="1" x14ac:dyDescent="0.2">
      <c r="A78" s="452">
        <v>4</v>
      </c>
      <c r="B78" s="453">
        <v>242465</v>
      </c>
      <c r="C78" s="454" t="s">
        <v>944</v>
      </c>
      <c r="D78" s="454" t="s">
        <v>945</v>
      </c>
      <c r="E78" s="455" t="s">
        <v>115</v>
      </c>
      <c r="F78" s="455" t="s">
        <v>117</v>
      </c>
      <c r="G78" s="455" t="s">
        <v>318</v>
      </c>
      <c r="H78" s="456" t="s">
        <v>946</v>
      </c>
      <c r="I78" s="451">
        <v>1250</v>
      </c>
      <c r="J78" s="451">
        <v>0</v>
      </c>
      <c r="K78" s="451">
        <v>0</v>
      </c>
      <c r="L78" s="451">
        <v>0</v>
      </c>
      <c r="M78" s="451">
        <v>0</v>
      </c>
      <c r="N78" s="461" t="s">
        <v>311</v>
      </c>
      <c r="O78" s="451">
        <f t="shared" si="13"/>
        <v>1250</v>
      </c>
    </row>
    <row r="79" spans="1:16" s="228" customFormat="1" ht="24" customHeight="1" x14ac:dyDescent="0.2">
      <c r="A79" s="452">
        <v>5</v>
      </c>
      <c r="B79" s="453">
        <v>242474</v>
      </c>
      <c r="C79" s="454" t="s">
        <v>947</v>
      </c>
      <c r="D79" s="454" t="s">
        <v>948</v>
      </c>
      <c r="E79" s="455" t="s">
        <v>115</v>
      </c>
      <c r="F79" s="455" t="s">
        <v>117</v>
      </c>
      <c r="G79" s="455" t="s">
        <v>278</v>
      </c>
      <c r="H79" s="456" t="s">
        <v>901</v>
      </c>
      <c r="I79" s="451">
        <f>25000+233000</f>
        <v>258000</v>
      </c>
      <c r="J79" s="451">
        <f>1250+11650</f>
        <v>12900</v>
      </c>
      <c r="K79" s="451">
        <f>1250+11650</f>
        <v>12900</v>
      </c>
      <c r="L79" s="451">
        <v>0</v>
      </c>
      <c r="M79" s="451">
        <v>0</v>
      </c>
      <c r="N79" s="451">
        <v>0</v>
      </c>
      <c r="O79" s="451">
        <f t="shared" si="13"/>
        <v>232200</v>
      </c>
    </row>
    <row r="80" spans="1:16" s="228" customFormat="1" ht="24" customHeight="1" x14ac:dyDescent="0.2">
      <c r="A80" s="452">
        <v>6</v>
      </c>
      <c r="B80" s="453" t="s">
        <v>949</v>
      </c>
      <c r="C80" s="454" t="s">
        <v>950</v>
      </c>
      <c r="D80" s="454" t="s">
        <v>951</v>
      </c>
      <c r="E80" s="455" t="s">
        <v>115</v>
      </c>
      <c r="F80" s="455" t="s">
        <v>117</v>
      </c>
      <c r="G80" s="455" t="s">
        <v>548</v>
      </c>
      <c r="H80" s="456" t="s">
        <v>901</v>
      </c>
      <c r="I80" s="451">
        <f>25000+556000</f>
        <v>581000</v>
      </c>
      <c r="J80" s="451">
        <f>1250+27800</f>
        <v>29050</v>
      </c>
      <c r="K80" s="451">
        <f>1250+27800</f>
        <v>29050</v>
      </c>
      <c r="L80" s="451">
        <v>0</v>
      </c>
      <c r="M80" s="451">
        <v>0</v>
      </c>
      <c r="N80" s="451">
        <v>0</v>
      </c>
      <c r="O80" s="451">
        <f t="shared" si="13"/>
        <v>522900</v>
      </c>
    </row>
    <row r="81" spans="1:16" s="228" customFormat="1" ht="24" customHeight="1" x14ac:dyDescent="0.2">
      <c r="A81" s="452">
        <v>7</v>
      </c>
      <c r="B81" s="453" t="s">
        <v>949</v>
      </c>
      <c r="C81" s="454" t="s">
        <v>952</v>
      </c>
      <c r="D81" s="454" t="s">
        <v>953</v>
      </c>
      <c r="E81" s="455" t="s">
        <v>115</v>
      </c>
      <c r="F81" s="455" t="s">
        <v>117</v>
      </c>
      <c r="G81" s="455" t="s">
        <v>303</v>
      </c>
      <c r="H81" s="456" t="s">
        <v>946</v>
      </c>
      <c r="I81" s="451">
        <f>850+1000</f>
        <v>1850</v>
      </c>
      <c r="J81" s="451">
        <v>0</v>
      </c>
      <c r="K81" s="451">
        <v>0</v>
      </c>
      <c r="L81" s="451">
        <v>0</v>
      </c>
      <c r="M81" s="451">
        <v>0</v>
      </c>
      <c r="N81" s="461" t="s">
        <v>311</v>
      </c>
      <c r="O81" s="451">
        <f t="shared" si="13"/>
        <v>1850</v>
      </c>
    </row>
    <row r="82" spans="1:16" s="228" customFormat="1" ht="24" customHeight="1" x14ac:dyDescent="0.2">
      <c r="A82" s="452">
        <v>11</v>
      </c>
      <c r="B82" s="453" t="s">
        <v>966</v>
      </c>
      <c r="C82" s="454" t="s">
        <v>972</v>
      </c>
      <c r="D82" s="454" t="s">
        <v>973</v>
      </c>
      <c r="E82" s="455" t="s">
        <v>115</v>
      </c>
      <c r="F82" s="455" t="s">
        <v>117</v>
      </c>
      <c r="G82" s="455" t="s">
        <v>441</v>
      </c>
      <c r="H82" s="456" t="s">
        <v>901</v>
      </c>
      <c r="I82" s="451">
        <v>75000</v>
      </c>
      <c r="J82" s="451">
        <v>3750</v>
      </c>
      <c r="K82" s="451">
        <v>3750</v>
      </c>
      <c r="L82" s="451">
        <v>0</v>
      </c>
      <c r="M82" s="451">
        <v>0</v>
      </c>
      <c r="N82" s="451">
        <v>0</v>
      </c>
      <c r="O82" s="451">
        <f t="shared" si="13"/>
        <v>67500</v>
      </c>
    </row>
    <row r="83" spans="1:16" s="228" customFormat="1" ht="24" customHeight="1" x14ac:dyDescent="0.2">
      <c r="A83" s="452">
        <v>12</v>
      </c>
      <c r="B83" s="453" t="s">
        <v>966</v>
      </c>
      <c r="C83" s="454" t="s">
        <v>974</v>
      </c>
      <c r="D83" s="454" t="s">
        <v>975</v>
      </c>
      <c r="E83" s="455" t="s">
        <v>115</v>
      </c>
      <c r="F83" s="455" t="s">
        <v>117</v>
      </c>
      <c r="G83" s="455" t="s">
        <v>318</v>
      </c>
      <c r="H83" s="456" t="s">
        <v>946</v>
      </c>
      <c r="I83" s="451">
        <v>1000</v>
      </c>
      <c r="J83" s="451">
        <v>0</v>
      </c>
      <c r="K83" s="451">
        <v>0</v>
      </c>
      <c r="L83" s="451">
        <v>0</v>
      </c>
      <c r="M83" s="451">
        <v>0</v>
      </c>
      <c r="N83" s="461" t="s">
        <v>311</v>
      </c>
      <c r="O83" s="451">
        <f t="shared" si="13"/>
        <v>1000</v>
      </c>
    </row>
    <row r="84" spans="1:16" s="228" customFormat="1" ht="24" customHeight="1" x14ac:dyDescent="0.2">
      <c r="A84" s="452">
        <v>13</v>
      </c>
      <c r="B84" s="453" t="s">
        <v>976</v>
      </c>
      <c r="C84" s="454" t="s">
        <v>977</v>
      </c>
      <c r="D84" s="454" t="s">
        <v>978</v>
      </c>
      <c r="E84" s="455" t="s">
        <v>115</v>
      </c>
      <c r="F84" s="455" t="s">
        <v>117</v>
      </c>
      <c r="G84" s="455" t="s">
        <v>441</v>
      </c>
      <c r="H84" s="456" t="s">
        <v>901</v>
      </c>
      <c r="I84" s="451">
        <v>45000</v>
      </c>
      <c r="J84" s="451">
        <v>2250</v>
      </c>
      <c r="K84" s="451">
        <v>2250</v>
      </c>
      <c r="L84" s="451">
        <v>0</v>
      </c>
      <c r="M84" s="451">
        <v>0</v>
      </c>
      <c r="N84" s="451">
        <v>0</v>
      </c>
      <c r="O84" s="451">
        <f t="shared" si="13"/>
        <v>40500</v>
      </c>
    </row>
    <row r="85" spans="1:16" s="214" customFormat="1" ht="24" customHeight="1" x14ac:dyDescent="0.2">
      <c r="A85" s="452">
        <v>14</v>
      </c>
      <c r="B85" s="453" t="s">
        <v>976</v>
      </c>
      <c r="C85" s="454" t="s">
        <v>979</v>
      </c>
      <c r="D85" s="454" t="s">
        <v>980</v>
      </c>
      <c r="E85" s="455" t="s">
        <v>115</v>
      </c>
      <c r="F85" s="455" t="s">
        <v>117</v>
      </c>
      <c r="G85" s="455" t="s">
        <v>441</v>
      </c>
      <c r="H85" s="456" t="s">
        <v>901</v>
      </c>
      <c r="I85" s="451">
        <v>60000</v>
      </c>
      <c r="J85" s="451">
        <v>3000</v>
      </c>
      <c r="K85" s="451">
        <v>3000</v>
      </c>
      <c r="L85" s="451">
        <v>0</v>
      </c>
      <c r="M85" s="451">
        <v>0</v>
      </c>
      <c r="N85" s="451">
        <v>0</v>
      </c>
      <c r="O85" s="451">
        <f t="shared" si="13"/>
        <v>54000</v>
      </c>
      <c r="P85" s="228"/>
    </row>
    <row r="86" spans="1:16" s="228" customFormat="1" ht="24" customHeight="1" x14ac:dyDescent="0.2">
      <c r="A86" s="452">
        <v>15</v>
      </c>
      <c r="B86" s="453" t="s">
        <v>981</v>
      </c>
      <c r="C86" s="454" t="s">
        <v>982</v>
      </c>
      <c r="D86" s="454" t="s">
        <v>983</v>
      </c>
      <c r="E86" s="455" t="s">
        <v>115</v>
      </c>
      <c r="F86" s="455" t="s">
        <v>117</v>
      </c>
      <c r="G86" s="455" t="s">
        <v>318</v>
      </c>
      <c r="H86" s="456" t="s">
        <v>901</v>
      </c>
      <c r="I86" s="451">
        <v>19000</v>
      </c>
      <c r="J86" s="451">
        <v>950</v>
      </c>
      <c r="K86" s="451">
        <v>950</v>
      </c>
      <c r="L86" s="451">
        <v>0</v>
      </c>
      <c r="M86" s="451">
        <v>0</v>
      </c>
      <c r="N86" s="451">
        <v>0</v>
      </c>
      <c r="O86" s="451">
        <f t="shared" si="13"/>
        <v>17100</v>
      </c>
    </row>
    <row r="87" spans="1:16" s="228" customFormat="1" ht="24" customHeight="1" x14ac:dyDescent="0.2">
      <c r="A87" s="452">
        <v>16</v>
      </c>
      <c r="B87" s="453" t="s">
        <v>984</v>
      </c>
      <c r="C87" s="454" t="s">
        <v>985</v>
      </c>
      <c r="D87" s="454" t="s">
        <v>986</v>
      </c>
      <c r="E87" s="455" t="s">
        <v>897</v>
      </c>
      <c r="F87" s="455" t="s">
        <v>117</v>
      </c>
      <c r="G87" s="455" t="s">
        <v>898</v>
      </c>
      <c r="H87" s="456" t="s">
        <v>987</v>
      </c>
      <c r="I87" s="451">
        <v>130680</v>
      </c>
      <c r="J87" s="451">
        <v>6534</v>
      </c>
      <c r="K87" s="451">
        <v>6534</v>
      </c>
      <c r="L87" s="451">
        <v>0</v>
      </c>
      <c r="M87" s="451">
        <v>0</v>
      </c>
      <c r="N87" s="451">
        <v>0</v>
      </c>
      <c r="O87" s="451">
        <f t="shared" si="13"/>
        <v>117612</v>
      </c>
    </row>
    <row r="88" spans="1:16" s="228" customFormat="1" ht="24" customHeight="1" x14ac:dyDescent="0.2">
      <c r="A88" s="452">
        <v>19</v>
      </c>
      <c r="B88" s="453" t="s">
        <v>994</v>
      </c>
      <c r="C88" s="454" t="s">
        <v>995</v>
      </c>
      <c r="D88" s="454" t="s">
        <v>996</v>
      </c>
      <c r="E88" s="455" t="s">
        <v>115</v>
      </c>
      <c r="F88" s="455" t="s">
        <v>117</v>
      </c>
      <c r="G88" s="455" t="s">
        <v>318</v>
      </c>
      <c r="H88" s="456" t="s">
        <v>901</v>
      </c>
      <c r="I88" s="451">
        <v>25000</v>
      </c>
      <c r="J88" s="451">
        <v>1250</v>
      </c>
      <c r="K88" s="451">
        <v>1250</v>
      </c>
      <c r="L88" s="451">
        <v>0</v>
      </c>
      <c r="M88" s="451">
        <v>0</v>
      </c>
      <c r="N88" s="451">
        <v>0</v>
      </c>
      <c r="O88" s="451">
        <f t="shared" si="13"/>
        <v>22500</v>
      </c>
    </row>
    <row r="89" spans="1:16" s="228" customFormat="1" ht="24" customHeight="1" x14ac:dyDescent="0.2">
      <c r="A89" s="452">
        <v>20</v>
      </c>
      <c r="B89" s="453" t="s">
        <v>997</v>
      </c>
      <c r="C89" s="454" t="s">
        <v>998</v>
      </c>
      <c r="D89" s="454" t="s">
        <v>999</v>
      </c>
      <c r="E89" s="455" t="s">
        <v>115</v>
      </c>
      <c r="F89" s="455" t="s">
        <v>117</v>
      </c>
      <c r="G89" s="455" t="s">
        <v>318</v>
      </c>
      <c r="H89" s="456" t="s">
        <v>901</v>
      </c>
      <c r="I89" s="451">
        <v>20000</v>
      </c>
      <c r="J89" s="451">
        <v>1000</v>
      </c>
      <c r="K89" s="451">
        <v>1000</v>
      </c>
      <c r="L89" s="451">
        <v>0</v>
      </c>
      <c r="M89" s="451">
        <v>0</v>
      </c>
      <c r="N89" s="451">
        <v>0</v>
      </c>
      <c r="O89" s="451">
        <f t="shared" si="13"/>
        <v>18000</v>
      </c>
    </row>
    <row r="90" spans="1:16" s="228" customFormat="1" ht="24" customHeight="1" x14ac:dyDescent="0.2">
      <c r="A90" s="452">
        <v>26</v>
      </c>
      <c r="B90" s="453" t="s">
        <v>1021</v>
      </c>
      <c r="C90" s="454" t="s">
        <v>1022</v>
      </c>
      <c r="D90" s="454" t="s">
        <v>1023</v>
      </c>
      <c r="E90" s="455" t="s">
        <v>302</v>
      </c>
      <c r="F90" s="455" t="s">
        <v>117</v>
      </c>
      <c r="G90" s="455" t="s">
        <v>303</v>
      </c>
      <c r="H90" s="456" t="s">
        <v>1024</v>
      </c>
      <c r="I90" s="451">
        <v>20000</v>
      </c>
      <c r="J90" s="451">
        <v>1000</v>
      </c>
      <c r="K90" s="451">
        <v>1000</v>
      </c>
      <c r="L90" s="451">
        <v>0</v>
      </c>
      <c r="M90" s="451">
        <v>0</v>
      </c>
      <c r="N90" s="451">
        <v>0</v>
      </c>
      <c r="O90" s="451">
        <f t="shared" si="13"/>
        <v>18000</v>
      </c>
    </row>
    <row r="91" spans="1:16" s="228" customFormat="1" ht="24" customHeight="1" x14ac:dyDescent="0.2">
      <c r="A91" s="452">
        <v>28</v>
      </c>
      <c r="B91" s="453" t="s">
        <v>1030</v>
      </c>
      <c r="C91" s="454" t="s">
        <v>1031</v>
      </c>
      <c r="D91" s="454" t="s">
        <v>1032</v>
      </c>
      <c r="E91" s="455" t="s">
        <v>1033</v>
      </c>
      <c r="F91" s="455" t="s">
        <v>117</v>
      </c>
      <c r="G91" s="455" t="s">
        <v>1034</v>
      </c>
      <c r="H91" s="456" t="s">
        <v>1035</v>
      </c>
      <c r="I91" s="451">
        <v>24000</v>
      </c>
      <c r="J91" s="451">
        <v>12000</v>
      </c>
      <c r="K91" s="451">
        <v>12000</v>
      </c>
      <c r="L91" s="451">
        <v>0</v>
      </c>
      <c r="M91" s="451">
        <v>0</v>
      </c>
      <c r="N91" s="451">
        <v>0</v>
      </c>
      <c r="O91" s="451">
        <f t="shared" si="13"/>
        <v>0</v>
      </c>
    </row>
    <row r="92" spans="1:16" s="228" customFormat="1" ht="24" customHeight="1" x14ac:dyDescent="0.2">
      <c r="A92" s="452">
        <v>33</v>
      </c>
      <c r="B92" s="453" t="s">
        <v>1057</v>
      </c>
      <c r="C92" s="454" t="s">
        <v>1058</v>
      </c>
      <c r="D92" s="454" t="s">
        <v>1059</v>
      </c>
      <c r="E92" s="455" t="s">
        <v>115</v>
      </c>
      <c r="F92" s="455" t="s">
        <v>117</v>
      </c>
      <c r="G92" s="455" t="s">
        <v>318</v>
      </c>
      <c r="H92" s="456" t="s">
        <v>901</v>
      </c>
      <c r="I92" s="451">
        <v>20000</v>
      </c>
      <c r="J92" s="451">
        <v>1000</v>
      </c>
      <c r="K92" s="451">
        <v>1000</v>
      </c>
      <c r="L92" s="451">
        <v>0</v>
      </c>
      <c r="M92" s="451">
        <v>0</v>
      </c>
      <c r="N92" s="451">
        <v>0</v>
      </c>
      <c r="O92" s="451">
        <f t="shared" si="13"/>
        <v>18000</v>
      </c>
    </row>
    <row r="93" spans="1:16" s="228" customFormat="1" ht="24" customHeight="1" x14ac:dyDescent="0.2">
      <c r="A93" s="452">
        <v>40</v>
      </c>
      <c r="B93" s="453" t="s">
        <v>1090</v>
      </c>
      <c r="C93" s="454" t="s">
        <v>1091</v>
      </c>
      <c r="D93" s="454" t="s">
        <v>1092</v>
      </c>
      <c r="E93" s="455" t="s">
        <v>115</v>
      </c>
      <c r="F93" s="455" t="s">
        <v>117</v>
      </c>
      <c r="G93" s="455" t="s">
        <v>318</v>
      </c>
      <c r="H93" s="456" t="s">
        <v>901</v>
      </c>
      <c r="I93" s="451">
        <v>25000</v>
      </c>
      <c r="J93" s="451">
        <v>1250</v>
      </c>
      <c r="K93" s="451">
        <v>1250</v>
      </c>
      <c r="L93" s="451">
        <v>0</v>
      </c>
      <c r="M93" s="451">
        <v>0</v>
      </c>
      <c r="N93" s="451">
        <v>0</v>
      </c>
      <c r="O93" s="451">
        <f t="shared" si="13"/>
        <v>22500</v>
      </c>
    </row>
    <row r="94" spans="1:16" s="228" customFormat="1" ht="24" customHeight="1" x14ac:dyDescent="0.2">
      <c r="A94" s="452">
        <v>41</v>
      </c>
      <c r="B94" s="453" t="s">
        <v>1093</v>
      </c>
      <c r="C94" s="454" t="s">
        <v>1094</v>
      </c>
      <c r="D94" s="454" t="s">
        <v>1095</v>
      </c>
      <c r="E94" s="455" t="s">
        <v>115</v>
      </c>
      <c r="F94" s="455" t="s">
        <v>117</v>
      </c>
      <c r="G94" s="455" t="s">
        <v>941</v>
      </c>
      <c r="H94" s="456" t="s">
        <v>901</v>
      </c>
      <c r="I94" s="451">
        <v>80000</v>
      </c>
      <c r="J94" s="451">
        <v>4000</v>
      </c>
      <c r="K94" s="451">
        <v>4000</v>
      </c>
      <c r="L94" s="451">
        <v>0</v>
      </c>
      <c r="M94" s="451">
        <v>0</v>
      </c>
      <c r="N94" s="451">
        <v>0</v>
      </c>
      <c r="O94" s="451">
        <f t="shared" si="13"/>
        <v>72000</v>
      </c>
    </row>
    <row r="95" spans="1:16" s="228" customFormat="1" ht="24" customHeight="1" x14ac:dyDescent="0.2">
      <c r="A95" s="452">
        <v>42</v>
      </c>
      <c r="B95" s="453" t="s">
        <v>1096</v>
      </c>
      <c r="C95" s="454" t="s">
        <v>1094</v>
      </c>
      <c r="D95" s="454" t="s">
        <v>1095</v>
      </c>
      <c r="E95" s="455" t="s">
        <v>115</v>
      </c>
      <c r="F95" s="455" t="s">
        <v>117</v>
      </c>
      <c r="G95" s="455" t="s">
        <v>295</v>
      </c>
      <c r="H95" s="456" t="s">
        <v>901</v>
      </c>
      <c r="I95" s="451">
        <v>431000</v>
      </c>
      <c r="J95" s="451">
        <v>21550</v>
      </c>
      <c r="K95" s="451">
        <v>21550</v>
      </c>
      <c r="L95" s="451">
        <v>0</v>
      </c>
      <c r="M95" s="451">
        <v>0</v>
      </c>
      <c r="N95" s="451">
        <v>0</v>
      </c>
      <c r="O95" s="451">
        <f t="shared" si="13"/>
        <v>387900</v>
      </c>
    </row>
    <row r="96" spans="1:16" s="228" customFormat="1" ht="24" customHeight="1" x14ac:dyDescent="0.2">
      <c r="A96" s="452">
        <v>46</v>
      </c>
      <c r="B96" s="453" t="s">
        <v>1097</v>
      </c>
      <c r="C96" s="460" t="s">
        <v>1109</v>
      </c>
      <c r="D96" s="454" t="s">
        <v>1110</v>
      </c>
      <c r="E96" s="455" t="s">
        <v>115</v>
      </c>
      <c r="F96" s="455" t="s">
        <v>117</v>
      </c>
      <c r="G96" s="455" t="s">
        <v>1111</v>
      </c>
      <c r="H96" s="456" t="s">
        <v>901</v>
      </c>
      <c r="I96" s="451">
        <v>2625000</v>
      </c>
      <c r="J96" s="451">
        <v>131250</v>
      </c>
      <c r="K96" s="451">
        <v>131250</v>
      </c>
      <c r="L96" s="451">
        <v>0</v>
      </c>
      <c r="M96" s="451">
        <v>0</v>
      </c>
      <c r="N96" s="451">
        <v>0</v>
      </c>
      <c r="O96" s="451">
        <f t="shared" si="13"/>
        <v>2362500</v>
      </c>
    </row>
    <row r="97" spans="1:15" s="228" customFormat="1" ht="24" customHeight="1" x14ac:dyDescent="0.2">
      <c r="A97" s="452">
        <v>47</v>
      </c>
      <c r="B97" s="453" t="s">
        <v>1097</v>
      </c>
      <c r="C97" s="460" t="s">
        <v>1109</v>
      </c>
      <c r="D97" s="454" t="s">
        <v>1112</v>
      </c>
      <c r="E97" s="455" t="s">
        <v>302</v>
      </c>
      <c r="F97" s="455" t="s">
        <v>117</v>
      </c>
      <c r="G97" s="455" t="s">
        <v>318</v>
      </c>
      <c r="H97" s="456" t="s">
        <v>1113</v>
      </c>
      <c r="I97" s="451">
        <v>25000</v>
      </c>
      <c r="J97" s="451">
        <v>1250</v>
      </c>
      <c r="K97" s="451">
        <v>1250</v>
      </c>
      <c r="L97" s="451">
        <v>0</v>
      </c>
      <c r="M97" s="451">
        <v>0</v>
      </c>
      <c r="N97" s="451">
        <v>0</v>
      </c>
      <c r="O97" s="451">
        <f t="shared" si="13"/>
        <v>22500</v>
      </c>
    </row>
    <row r="98" spans="1:15" s="228" customFormat="1" ht="24" customHeight="1" x14ac:dyDescent="0.2">
      <c r="A98" s="452">
        <v>50</v>
      </c>
      <c r="B98" s="453">
        <v>242796</v>
      </c>
      <c r="C98" s="458" t="s">
        <v>932</v>
      </c>
      <c r="D98" s="454" t="s">
        <v>933</v>
      </c>
      <c r="E98" s="455" t="s">
        <v>1033</v>
      </c>
      <c r="F98" s="455" t="s">
        <v>117</v>
      </c>
      <c r="G98" s="455" t="s">
        <v>1034</v>
      </c>
      <c r="H98" s="456" t="s">
        <v>1120</v>
      </c>
      <c r="I98" s="451">
        <v>216000</v>
      </c>
      <c r="J98" s="451">
        <v>0</v>
      </c>
      <c r="K98" s="451">
        <v>0</v>
      </c>
      <c r="L98" s="451">
        <v>0</v>
      </c>
      <c r="M98" s="451">
        <v>0</v>
      </c>
      <c r="N98" s="451">
        <v>0</v>
      </c>
      <c r="O98" s="451">
        <f t="shared" si="13"/>
        <v>216000</v>
      </c>
    </row>
    <row r="99" spans="1:15" s="228" customFormat="1" ht="24" customHeight="1" x14ac:dyDescent="0.2">
      <c r="A99" s="452">
        <v>51</v>
      </c>
      <c r="B99" s="453">
        <v>242796</v>
      </c>
      <c r="C99" s="458" t="s">
        <v>932</v>
      </c>
      <c r="D99" s="454" t="s">
        <v>933</v>
      </c>
      <c r="E99" s="455" t="s">
        <v>302</v>
      </c>
      <c r="F99" s="455" t="s">
        <v>117</v>
      </c>
      <c r="G99" s="455" t="s">
        <v>1121</v>
      </c>
      <c r="H99" s="456" t="s">
        <v>1122</v>
      </c>
      <c r="I99" s="451">
        <v>316890</v>
      </c>
      <c r="J99" s="451">
        <v>0</v>
      </c>
      <c r="K99" s="451">
        <v>0</v>
      </c>
      <c r="L99" s="451">
        <v>0</v>
      </c>
      <c r="M99" s="451">
        <v>0</v>
      </c>
      <c r="N99" s="451">
        <v>0</v>
      </c>
      <c r="O99" s="451">
        <f t="shared" si="13"/>
        <v>316890</v>
      </c>
    </row>
    <row r="100" spans="1:15" s="228" customFormat="1" ht="24" customHeight="1" x14ac:dyDescent="0.2">
      <c r="A100" s="465" t="s">
        <v>152</v>
      </c>
      <c r="B100" s="466"/>
      <c r="C100" s="467"/>
      <c r="D100" s="468"/>
      <c r="E100" s="465"/>
      <c r="F100" s="465"/>
      <c r="G100" s="465"/>
      <c r="H100" s="469"/>
      <c r="I100" s="470">
        <f>SUM(I101:I107)</f>
        <v>8900000</v>
      </c>
      <c r="J100" s="470">
        <f t="shared" ref="J100:O100" si="14">SUM(J101:J107)</f>
        <v>100000</v>
      </c>
      <c r="K100" s="470">
        <f t="shared" si="14"/>
        <v>100000</v>
      </c>
      <c r="L100" s="470">
        <f t="shared" si="14"/>
        <v>40000</v>
      </c>
      <c r="M100" s="470">
        <f t="shared" si="14"/>
        <v>40000</v>
      </c>
      <c r="N100" s="470">
        <f t="shared" si="14"/>
        <v>0</v>
      </c>
      <c r="O100" s="470">
        <f t="shared" si="14"/>
        <v>8620000</v>
      </c>
    </row>
    <row r="101" spans="1:15" s="228" customFormat="1" ht="24" customHeight="1" x14ac:dyDescent="0.2">
      <c r="A101" s="452">
        <v>9</v>
      </c>
      <c r="B101" s="453" t="s">
        <v>1164</v>
      </c>
      <c r="C101" s="454" t="s">
        <v>1165</v>
      </c>
      <c r="D101" s="454" t="s">
        <v>1166</v>
      </c>
      <c r="E101" s="455" t="s">
        <v>1167</v>
      </c>
      <c r="F101" s="455" t="s">
        <v>1168</v>
      </c>
      <c r="G101" s="455" t="s">
        <v>1169</v>
      </c>
      <c r="H101" s="456" t="s">
        <v>1170</v>
      </c>
      <c r="I101" s="451">
        <v>320000</v>
      </c>
      <c r="J101" s="451">
        <v>0</v>
      </c>
      <c r="K101" s="451">
        <v>0</v>
      </c>
      <c r="L101" s="451">
        <v>40000</v>
      </c>
      <c r="M101" s="451">
        <v>40000</v>
      </c>
      <c r="N101" s="451">
        <v>0</v>
      </c>
      <c r="O101" s="451">
        <f t="shared" ref="O101:O107" si="15">+I101-(SUM(J101:N101))</f>
        <v>240000</v>
      </c>
    </row>
    <row r="102" spans="1:15" s="228" customFormat="1" ht="24" customHeight="1" x14ac:dyDescent="0.2">
      <c r="A102" s="452">
        <v>16</v>
      </c>
      <c r="B102" s="453" t="s">
        <v>1194</v>
      </c>
      <c r="C102" s="454" t="s">
        <v>1200</v>
      </c>
      <c r="D102" s="454" t="s">
        <v>1201</v>
      </c>
      <c r="E102" s="455" t="s">
        <v>1202</v>
      </c>
      <c r="F102" s="455" t="s">
        <v>1203</v>
      </c>
      <c r="G102" s="455" t="s">
        <v>1204</v>
      </c>
      <c r="H102" s="456" t="s">
        <v>1205</v>
      </c>
      <c r="I102" s="451">
        <v>700000</v>
      </c>
      <c r="J102" s="451">
        <v>35000</v>
      </c>
      <c r="K102" s="451">
        <v>35000</v>
      </c>
      <c r="L102" s="451">
        <v>0</v>
      </c>
      <c r="M102" s="451">
        <v>0</v>
      </c>
      <c r="N102" s="451">
        <v>0</v>
      </c>
      <c r="O102" s="451">
        <f t="shared" si="15"/>
        <v>630000</v>
      </c>
    </row>
    <row r="103" spans="1:15" s="228" customFormat="1" ht="24" customHeight="1" x14ac:dyDescent="0.2">
      <c r="A103" s="452">
        <v>17</v>
      </c>
      <c r="B103" s="453" t="s">
        <v>1194</v>
      </c>
      <c r="C103" s="454" t="s">
        <v>1200</v>
      </c>
      <c r="D103" s="454" t="s">
        <v>1201</v>
      </c>
      <c r="E103" s="455" t="s">
        <v>1206</v>
      </c>
      <c r="F103" s="455" t="s">
        <v>1203</v>
      </c>
      <c r="G103" s="455" t="s">
        <v>1204</v>
      </c>
      <c r="H103" s="456" t="s">
        <v>1207</v>
      </c>
      <c r="I103" s="451">
        <v>430000</v>
      </c>
      <c r="J103" s="451">
        <v>21500</v>
      </c>
      <c r="K103" s="451">
        <v>21500</v>
      </c>
      <c r="L103" s="451">
        <v>0</v>
      </c>
      <c r="M103" s="451">
        <v>0</v>
      </c>
      <c r="N103" s="451">
        <v>0</v>
      </c>
      <c r="O103" s="451">
        <f t="shared" si="15"/>
        <v>387000</v>
      </c>
    </row>
    <row r="104" spans="1:15" s="228" customFormat="1" ht="24" customHeight="1" x14ac:dyDescent="0.2">
      <c r="A104" s="452">
        <v>18</v>
      </c>
      <c r="B104" s="453" t="s">
        <v>1194</v>
      </c>
      <c r="C104" s="454" t="s">
        <v>1200</v>
      </c>
      <c r="D104" s="454" t="s">
        <v>1201</v>
      </c>
      <c r="E104" s="455" t="s">
        <v>963</v>
      </c>
      <c r="F104" s="455" t="s">
        <v>1203</v>
      </c>
      <c r="G104" s="455" t="s">
        <v>1204</v>
      </c>
      <c r="H104" s="456" t="s">
        <v>1208</v>
      </c>
      <c r="I104" s="451">
        <v>440000</v>
      </c>
      <c r="J104" s="451">
        <v>22000</v>
      </c>
      <c r="K104" s="451">
        <v>22000</v>
      </c>
      <c r="L104" s="451">
        <v>0</v>
      </c>
      <c r="M104" s="451">
        <v>0</v>
      </c>
      <c r="N104" s="451">
        <v>0</v>
      </c>
      <c r="O104" s="451">
        <f t="shared" si="15"/>
        <v>396000</v>
      </c>
    </row>
    <row r="105" spans="1:15" s="228" customFormat="1" ht="24" customHeight="1" x14ac:dyDescent="0.2">
      <c r="A105" s="452">
        <v>19</v>
      </c>
      <c r="B105" s="453" t="s">
        <v>1194</v>
      </c>
      <c r="C105" s="454" t="s">
        <v>1200</v>
      </c>
      <c r="D105" s="454" t="s">
        <v>1201</v>
      </c>
      <c r="E105" s="455" t="s">
        <v>1209</v>
      </c>
      <c r="F105" s="455" t="s">
        <v>1203</v>
      </c>
      <c r="G105" s="455" t="s">
        <v>1204</v>
      </c>
      <c r="H105" s="456" t="s">
        <v>1210</v>
      </c>
      <c r="I105" s="451">
        <v>430000</v>
      </c>
      <c r="J105" s="451">
        <v>21500</v>
      </c>
      <c r="K105" s="451">
        <v>21500</v>
      </c>
      <c r="L105" s="451">
        <v>0</v>
      </c>
      <c r="M105" s="451">
        <v>0</v>
      </c>
      <c r="N105" s="451">
        <v>0</v>
      </c>
      <c r="O105" s="451">
        <f t="shared" si="15"/>
        <v>387000</v>
      </c>
    </row>
    <row r="106" spans="1:15" s="228" customFormat="1" ht="24" customHeight="1" x14ac:dyDescent="0.2">
      <c r="A106" s="452">
        <v>30</v>
      </c>
      <c r="B106" s="453" t="s">
        <v>926</v>
      </c>
      <c r="C106" s="454" t="s">
        <v>1249</v>
      </c>
      <c r="D106" s="454" t="s">
        <v>1250</v>
      </c>
      <c r="E106" s="455" t="s">
        <v>1251</v>
      </c>
      <c r="F106" s="455" t="s">
        <v>1252</v>
      </c>
      <c r="G106" s="455" t="s">
        <v>1253</v>
      </c>
      <c r="H106" s="456" t="s">
        <v>1254</v>
      </c>
      <c r="I106" s="451">
        <v>4216000</v>
      </c>
      <c r="J106" s="451">
        <v>0</v>
      </c>
      <c r="K106" s="451">
        <v>0</v>
      </c>
      <c r="L106" s="451">
        <v>0</v>
      </c>
      <c r="M106" s="451">
        <v>0</v>
      </c>
      <c r="N106" s="457" t="s">
        <v>1255</v>
      </c>
      <c r="O106" s="451">
        <f t="shared" si="15"/>
        <v>4216000</v>
      </c>
    </row>
    <row r="107" spans="1:15" s="228" customFormat="1" ht="24" customHeight="1" x14ac:dyDescent="0.2">
      <c r="A107" s="452">
        <v>42</v>
      </c>
      <c r="B107" s="453">
        <v>242796</v>
      </c>
      <c r="C107" s="458" t="s">
        <v>932</v>
      </c>
      <c r="D107" s="454" t="s">
        <v>933</v>
      </c>
      <c r="E107" s="455" t="s">
        <v>1251</v>
      </c>
      <c r="F107" s="455" t="s">
        <v>1252</v>
      </c>
      <c r="G107" s="455" t="s">
        <v>1253</v>
      </c>
      <c r="H107" s="459" t="s">
        <v>1284</v>
      </c>
      <c r="I107" s="451">
        <v>2364000</v>
      </c>
      <c r="J107" s="451">
        <v>0</v>
      </c>
      <c r="K107" s="451">
        <v>0</v>
      </c>
      <c r="L107" s="451">
        <v>0</v>
      </c>
      <c r="M107" s="451">
        <v>0</v>
      </c>
      <c r="N107" s="451">
        <v>0</v>
      </c>
      <c r="O107" s="451">
        <f t="shared" si="15"/>
        <v>2364000</v>
      </c>
    </row>
    <row r="108" spans="1:15" s="228" customFormat="1" ht="24" customHeight="1" x14ac:dyDescent="0.2">
      <c r="A108" s="465" t="s">
        <v>923</v>
      </c>
      <c r="B108" s="466"/>
      <c r="C108" s="467"/>
      <c r="D108" s="468"/>
      <c r="E108" s="465"/>
      <c r="F108" s="465"/>
      <c r="G108" s="465"/>
      <c r="H108" s="471"/>
      <c r="I108" s="470">
        <f>SUM(I109:I111)</f>
        <v>530115</v>
      </c>
      <c r="J108" s="470">
        <f t="shared" ref="J108:O108" si="16">SUM(J109:J111)</f>
        <v>26505.75</v>
      </c>
      <c r="K108" s="470">
        <f t="shared" si="16"/>
        <v>26505.75</v>
      </c>
      <c r="L108" s="470">
        <f t="shared" si="16"/>
        <v>0</v>
      </c>
      <c r="M108" s="470">
        <f t="shared" si="16"/>
        <v>0</v>
      </c>
      <c r="N108" s="470">
        <f t="shared" si="16"/>
        <v>0</v>
      </c>
      <c r="O108" s="470">
        <f t="shared" si="16"/>
        <v>477103.5</v>
      </c>
    </row>
    <row r="109" spans="1:15" s="228" customFormat="1" ht="24" customHeight="1" x14ac:dyDescent="0.2">
      <c r="A109" s="452">
        <v>1</v>
      </c>
      <c r="B109" s="453" t="s">
        <v>920</v>
      </c>
      <c r="C109" s="454" t="s">
        <v>921</v>
      </c>
      <c r="D109" s="454" t="s">
        <v>922</v>
      </c>
      <c r="E109" s="455" t="s">
        <v>529</v>
      </c>
      <c r="F109" s="455" t="s">
        <v>923</v>
      </c>
      <c r="G109" s="455" t="s">
        <v>924</v>
      </c>
      <c r="H109" s="456" t="s">
        <v>925</v>
      </c>
      <c r="I109" s="451">
        <v>20000</v>
      </c>
      <c r="J109" s="451">
        <v>10000</v>
      </c>
      <c r="K109" s="451">
        <v>10000</v>
      </c>
      <c r="L109" s="451">
        <v>0</v>
      </c>
      <c r="M109" s="451">
        <v>0</v>
      </c>
      <c r="N109" s="451">
        <v>0</v>
      </c>
      <c r="O109" s="451">
        <f>+I109-(SUM(J109:N109))</f>
        <v>0</v>
      </c>
    </row>
    <row r="110" spans="1:15" s="228" customFormat="1" ht="24" customHeight="1" x14ac:dyDescent="0.2">
      <c r="A110" s="452">
        <v>2</v>
      </c>
      <c r="B110" s="453" t="s">
        <v>926</v>
      </c>
      <c r="C110" s="454" t="s">
        <v>927</v>
      </c>
      <c r="D110" s="454" t="s">
        <v>928</v>
      </c>
      <c r="E110" s="455" t="s">
        <v>929</v>
      </c>
      <c r="F110" s="455" t="s">
        <v>923</v>
      </c>
      <c r="G110" s="455" t="s">
        <v>930</v>
      </c>
      <c r="H110" s="456" t="s">
        <v>931</v>
      </c>
      <c r="I110" s="451">
        <v>330115</v>
      </c>
      <c r="J110" s="451">
        <v>16505.75</v>
      </c>
      <c r="K110" s="451">
        <v>16505.75</v>
      </c>
      <c r="L110" s="451">
        <v>0</v>
      </c>
      <c r="M110" s="451">
        <v>0</v>
      </c>
      <c r="N110" s="451">
        <v>0</v>
      </c>
      <c r="O110" s="451">
        <f>+I110-(SUM(J110:N110))</f>
        <v>297103.5</v>
      </c>
    </row>
    <row r="111" spans="1:15" s="228" customFormat="1" ht="24" customHeight="1" x14ac:dyDescent="0.2">
      <c r="A111" s="452">
        <v>3</v>
      </c>
      <c r="B111" s="453">
        <v>242796</v>
      </c>
      <c r="C111" s="458" t="s">
        <v>932</v>
      </c>
      <c r="D111" s="454" t="s">
        <v>933</v>
      </c>
      <c r="E111" s="455" t="s">
        <v>529</v>
      </c>
      <c r="F111" s="455" t="s">
        <v>923</v>
      </c>
      <c r="G111" s="455" t="s">
        <v>924</v>
      </c>
      <c r="H111" s="456" t="s">
        <v>934</v>
      </c>
      <c r="I111" s="451">
        <v>180000</v>
      </c>
      <c r="J111" s="451">
        <v>0</v>
      </c>
      <c r="K111" s="451">
        <v>0</v>
      </c>
      <c r="L111" s="451">
        <v>0</v>
      </c>
      <c r="M111" s="451">
        <v>0</v>
      </c>
      <c r="N111" s="451">
        <v>0</v>
      </c>
      <c r="O111" s="451">
        <f>+I111-(SUM(J111:N111))</f>
        <v>180000</v>
      </c>
    </row>
    <row r="112" spans="1:15" s="228" customFormat="1" ht="24" customHeight="1" x14ac:dyDescent="0.2">
      <c r="A112" s="465" t="s">
        <v>1133</v>
      </c>
      <c r="B112" s="466"/>
      <c r="C112" s="467"/>
      <c r="D112" s="468"/>
      <c r="E112" s="465"/>
      <c r="F112" s="465"/>
      <c r="G112" s="465"/>
      <c r="H112" s="469"/>
      <c r="I112" s="470">
        <f>SUM(I113:I114)</f>
        <v>1504492</v>
      </c>
      <c r="J112" s="470">
        <f t="shared" ref="J112:O112" si="17">SUM(J113:J114)</f>
        <v>75224.600000000006</v>
      </c>
      <c r="K112" s="470">
        <f t="shared" si="17"/>
        <v>75224.600000000006</v>
      </c>
      <c r="L112" s="470">
        <f t="shared" si="17"/>
        <v>0</v>
      </c>
      <c r="M112" s="470">
        <f t="shared" si="17"/>
        <v>0</v>
      </c>
      <c r="N112" s="470">
        <f t="shared" si="17"/>
        <v>0</v>
      </c>
      <c r="O112" s="470">
        <f t="shared" si="17"/>
        <v>1354042.8</v>
      </c>
    </row>
    <row r="113" spans="1:15" s="228" customFormat="1" ht="24" customHeight="1" x14ac:dyDescent="0.2">
      <c r="A113" s="452">
        <v>2</v>
      </c>
      <c r="B113" s="453" t="s">
        <v>1129</v>
      </c>
      <c r="C113" s="454" t="s">
        <v>1130</v>
      </c>
      <c r="D113" s="454" t="s">
        <v>1131</v>
      </c>
      <c r="E113" s="455" t="s">
        <v>1132</v>
      </c>
      <c r="F113" s="455" t="s">
        <v>1133</v>
      </c>
      <c r="G113" s="455" t="s">
        <v>1134</v>
      </c>
      <c r="H113" s="456" t="s">
        <v>1135</v>
      </c>
      <c r="I113" s="451">
        <v>150449.20000000001</v>
      </c>
      <c r="J113" s="451">
        <v>75224.600000000006</v>
      </c>
      <c r="K113" s="451">
        <v>75224.600000000006</v>
      </c>
      <c r="L113" s="451">
        <v>0</v>
      </c>
      <c r="M113" s="451">
        <v>0</v>
      </c>
      <c r="N113" s="451">
        <v>0</v>
      </c>
      <c r="O113" s="451">
        <f>+I113-(SUM(J113:N113))</f>
        <v>0</v>
      </c>
    </row>
    <row r="114" spans="1:15" s="228" customFormat="1" ht="24" customHeight="1" x14ac:dyDescent="0.2">
      <c r="A114" s="452">
        <v>38</v>
      </c>
      <c r="B114" s="453">
        <v>242796</v>
      </c>
      <c r="C114" s="458" t="s">
        <v>932</v>
      </c>
      <c r="D114" s="454" t="s">
        <v>933</v>
      </c>
      <c r="E114" s="455" t="s">
        <v>1132</v>
      </c>
      <c r="F114" s="455" t="s">
        <v>1133</v>
      </c>
      <c r="G114" s="455" t="s">
        <v>1134</v>
      </c>
      <c r="H114" s="459" t="s">
        <v>1280</v>
      </c>
      <c r="I114" s="451">
        <v>1354042.8</v>
      </c>
      <c r="J114" s="451">
        <v>0</v>
      </c>
      <c r="K114" s="451">
        <v>0</v>
      </c>
      <c r="L114" s="451">
        <v>0</v>
      </c>
      <c r="M114" s="451">
        <v>0</v>
      </c>
      <c r="N114" s="451">
        <v>0</v>
      </c>
      <c r="O114" s="451">
        <f>+I114-(SUM(J114:N114))</f>
        <v>1354042.8</v>
      </c>
    </row>
    <row r="115" spans="1:15" s="243" customFormat="1" ht="20.100000000000001" customHeight="1" thickBot="1" x14ac:dyDescent="0.25">
      <c r="A115" s="559" t="s">
        <v>1919</v>
      </c>
      <c r="B115" s="559"/>
      <c r="C115" s="559"/>
      <c r="D115" s="559"/>
      <c r="E115" s="559"/>
      <c r="F115" s="559"/>
      <c r="G115" s="559"/>
      <c r="H115" s="559"/>
      <c r="I115" s="477">
        <f>SUM(I8+I15+I18+I27+I36+I55+I57+I72+I100+I108+I112)</f>
        <v>29949070.460000001</v>
      </c>
      <c r="J115" s="477">
        <f t="shared" ref="J115:O115" si="18">SUM(J8+J15+J18+J27+J36+J55+J57+J72+J100+J108+J112)</f>
        <v>871812.13</v>
      </c>
      <c r="K115" s="477">
        <f t="shared" si="18"/>
        <v>871812.13</v>
      </c>
      <c r="L115" s="477">
        <f t="shared" si="18"/>
        <v>280213.75</v>
      </c>
      <c r="M115" s="477">
        <f t="shared" si="18"/>
        <v>280213.75</v>
      </c>
      <c r="N115" s="477">
        <f t="shared" si="18"/>
        <v>0</v>
      </c>
      <c r="O115" s="477">
        <f t="shared" si="18"/>
        <v>27645018.699999999</v>
      </c>
    </row>
    <row r="116" spans="1:15" ht="20.25" thickTop="1" x14ac:dyDescent="0.45"/>
    <row r="117" spans="1:15" x14ac:dyDescent="0.45">
      <c r="J117" s="248"/>
      <c r="K117" s="248"/>
      <c r="L117" s="248"/>
      <c r="M117" s="248"/>
      <c r="N117" s="248"/>
      <c r="O117" s="248"/>
    </row>
    <row r="119" spans="1:15" x14ac:dyDescent="0.45">
      <c r="J119" s="248"/>
      <c r="K119" s="248"/>
      <c r="L119" s="248"/>
      <c r="M119" s="248"/>
      <c r="N119" s="248"/>
      <c r="O119" s="248"/>
    </row>
    <row r="183" spans="1:16" ht="21.75" x14ac:dyDescent="0.45">
      <c r="A183" s="555" t="s">
        <v>517</v>
      </c>
      <c r="B183" s="555"/>
      <c r="C183" s="555"/>
      <c r="D183" s="555"/>
      <c r="E183" s="555" t="s">
        <v>518</v>
      </c>
      <c r="F183" s="555"/>
      <c r="G183" s="555"/>
      <c r="H183" s="555" t="s">
        <v>518</v>
      </c>
      <c r="I183" s="555"/>
      <c r="J183" s="555"/>
      <c r="K183" s="555"/>
      <c r="L183" s="556" t="s">
        <v>519</v>
      </c>
      <c r="M183" s="556"/>
      <c r="N183" s="556"/>
      <c r="O183" s="556"/>
      <c r="P183" s="244"/>
    </row>
    <row r="184" spans="1:16" ht="21.75" x14ac:dyDescent="0.45">
      <c r="A184" s="555" t="s">
        <v>785</v>
      </c>
      <c r="B184" s="555"/>
      <c r="C184" s="555"/>
      <c r="D184" s="555"/>
      <c r="E184" s="555" t="s">
        <v>786</v>
      </c>
      <c r="F184" s="555"/>
      <c r="G184" s="555"/>
      <c r="H184" s="555" t="s">
        <v>520</v>
      </c>
      <c r="I184" s="555"/>
      <c r="J184" s="555"/>
      <c r="K184" s="555"/>
      <c r="L184" s="556" t="s">
        <v>521</v>
      </c>
      <c r="M184" s="556"/>
      <c r="N184" s="556"/>
      <c r="O184" s="556"/>
      <c r="P184" s="244"/>
    </row>
    <row r="185" spans="1:16" ht="21.75" x14ac:dyDescent="0.45">
      <c r="A185" s="555" t="s">
        <v>787</v>
      </c>
      <c r="B185" s="555"/>
      <c r="C185" s="555"/>
      <c r="D185" s="555"/>
      <c r="E185" s="555" t="s">
        <v>522</v>
      </c>
      <c r="F185" s="555"/>
      <c r="G185" s="555"/>
      <c r="H185" s="555" t="s">
        <v>523</v>
      </c>
      <c r="I185" s="555"/>
      <c r="J185" s="555"/>
      <c r="K185" s="555"/>
      <c r="L185" s="556" t="s">
        <v>524</v>
      </c>
      <c r="M185" s="556"/>
      <c r="N185" s="556"/>
      <c r="O185" s="556"/>
      <c r="P185" s="244"/>
    </row>
  </sheetData>
  <sortState ref="A8:P108">
    <sortCondition ref="F8:F108"/>
  </sortState>
  <mergeCells count="30">
    <mergeCell ref="A1:O1"/>
    <mergeCell ref="A2:O2"/>
    <mergeCell ref="A3:O3"/>
    <mergeCell ref="A5:A7"/>
    <mergeCell ref="B5:I5"/>
    <mergeCell ref="J5:N5"/>
    <mergeCell ref="O5:O7"/>
    <mergeCell ref="B6:B7"/>
    <mergeCell ref="C6:C7"/>
    <mergeCell ref="D6:D7"/>
    <mergeCell ref="L6:N6"/>
    <mergeCell ref="E6:E7"/>
    <mergeCell ref="F6:F7"/>
    <mergeCell ref="G6:G7"/>
    <mergeCell ref="H6:H7"/>
    <mergeCell ref="I6:I7"/>
    <mergeCell ref="A185:D185"/>
    <mergeCell ref="E185:G185"/>
    <mergeCell ref="H185:K185"/>
    <mergeCell ref="L185:O185"/>
    <mergeCell ref="J6:K6"/>
    <mergeCell ref="A184:D184"/>
    <mergeCell ref="E184:G184"/>
    <mergeCell ref="H184:K184"/>
    <mergeCell ref="L184:O184"/>
    <mergeCell ref="A115:H115"/>
    <mergeCell ref="A183:D183"/>
    <mergeCell ref="E183:G183"/>
    <mergeCell ref="H183:K183"/>
    <mergeCell ref="L183:O18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ปีงปม.67สรุป100%(ณ30กย67)</vt:lpstr>
      <vt:lpstr>ปีงปม.67สรุป(ณ30กย67)</vt:lpstr>
      <vt:lpstr>ปีงปม.67รายละเอียด(ณ30กย67)</vt:lpstr>
      <vt:lpstr>ปีงปม.66สรุป</vt:lpstr>
      <vt:lpstr>ปีงปม.66รายละเอียด</vt:lpstr>
      <vt:lpstr>ปีงปม.65สรุป</vt:lpstr>
      <vt:lpstr>ปีงปม.65รายละเอียด</vt:lpstr>
      <vt:lpstr>ปีงปม.64สรุป</vt:lpstr>
      <vt:lpstr>ปีงปม.64 รายละเอียด</vt:lpstr>
      <vt:lpstr>ปีงปม.63</vt:lpstr>
      <vt:lpstr>ปีงปม.62</vt:lpstr>
      <vt:lpstr>ปีงปม.61</vt:lpstr>
      <vt:lpstr>ปีงปม.60</vt:lpstr>
      <vt:lpstr>ปีงปม.59</vt:lpstr>
      <vt:lpstr>ปีงปม.58</vt:lpstr>
      <vt:lpstr>เริ่มเก็บ22กย57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2021-12-20T09:07:09Z</dcterms:created>
  <dcterms:modified xsi:type="dcterms:W3CDTF">2024-10-22T04:29:17Z</dcterms:modified>
</cp:coreProperties>
</file>