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สัณสนี\SANSANEE\1.ตาล\1.รายงาน\รายงานขึ้นเว็บไซต์\รายงานปีงบประมาณ 2569\"/>
    </mc:Choice>
  </mc:AlternateContent>
  <bookViews>
    <workbookView xWindow="0" yWindow="0" windowWidth="28800" windowHeight="11700" tabRatio="921" activeTab="2"/>
  </bookViews>
  <sheets>
    <sheet name="ปีงปม.69สรุป100%(ณ31มีค69)" sheetId="23" r:id="rId1"/>
    <sheet name="ปีงปม.69สรุป(ณ31มีค69)" sheetId="22" r:id="rId2"/>
    <sheet name="ปีงปม.69รายละเอียด(ณ31มีค69)" sheetId="21" r:id="rId3"/>
    <sheet name="ปีงปม.68สรุป100%" sheetId="20" r:id="rId4"/>
    <sheet name="ปีงปม.68สรุป" sheetId="19" r:id="rId5"/>
    <sheet name="ปีงปม.68รายละเอียด" sheetId="18" r:id="rId6"/>
    <sheet name="ปีงปม.67สรุป100%" sheetId="16" r:id="rId7"/>
    <sheet name="ปีงปม.67สรุป" sheetId="15" r:id="rId8"/>
    <sheet name="ปีงปม.67รายละเอียด" sheetId="14" r:id="rId9"/>
    <sheet name="ปีงปม.66สรุป" sheetId="13" r:id="rId10"/>
    <sheet name="ปีงปม.66รายละเอียด" sheetId="12" r:id="rId11"/>
    <sheet name="ปีงปม.65สรุป" sheetId="11" r:id="rId12"/>
    <sheet name="ปีงปม.65รายละเอียด" sheetId="4" r:id="rId13"/>
    <sheet name="ปีงปม.64สรุป" sheetId="17" r:id="rId14"/>
    <sheet name="ปีงปม.64 รายละเอียด" sheetId="5" r:id="rId15"/>
    <sheet name="ปีงปม.63" sheetId="6" r:id="rId16"/>
    <sheet name="ปีงปม.62" sheetId="7" r:id="rId17"/>
    <sheet name="ปีงปม.61" sheetId="8" r:id="rId18"/>
    <sheet name="ปีงปม.60" sheetId="2" r:id="rId19"/>
    <sheet name="ปีงปม.59" sheetId="1" r:id="rId20"/>
    <sheet name="ปีงปม.58" sheetId="10" r:id="rId21"/>
    <sheet name="เริ่มเก็บ22กย57" sheetId="9" r:id="rId2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8" i="21" l="1"/>
  <c r="O98" i="21"/>
  <c r="P97" i="21"/>
  <c r="O97" i="21"/>
  <c r="O95" i="21" s="1"/>
  <c r="P96" i="21"/>
  <c r="P95" i="21" s="1"/>
  <c r="O96" i="21"/>
  <c r="N95" i="21"/>
  <c r="M95" i="21"/>
  <c r="L95" i="21"/>
  <c r="K95" i="21"/>
  <c r="J95" i="21"/>
  <c r="I95" i="21"/>
  <c r="P94" i="21"/>
  <c r="P92" i="21" s="1"/>
  <c r="O94" i="21"/>
  <c r="P93" i="21"/>
  <c r="O93" i="21"/>
  <c r="O92" i="21"/>
  <c r="N92" i="21"/>
  <c r="M92" i="21"/>
  <c r="L92" i="21"/>
  <c r="K92" i="21"/>
  <c r="J92" i="21"/>
  <c r="I92" i="21"/>
  <c r="P91" i="21"/>
  <c r="O91" i="21"/>
  <c r="O90" i="21" s="1"/>
  <c r="P90" i="21"/>
  <c r="N90" i="21"/>
  <c r="M90" i="21"/>
  <c r="L90" i="21"/>
  <c r="K90" i="21"/>
  <c r="J90" i="21"/>
  <c r="I90" i="21"/>
  <c r="P89" i="21"/>
  <c r="O89" i="21"/>
  <c r="P88" i="21"/>
  <c r="P87" i="21" s="1"/>
  <c r="O88" i="21"/>
  <c r="O87" i="21" s="1"/>
  <c r="M87" i="21"/>
  <c r="L87" i="21"/>
  <c r="K87" i="21"/>
  <c r="J87" i="21"/>
  <c r="I87" i="21"/>
  <c r="P85" i="21"/>
  <c r="O85" i="21"/>
  <c r="O84" i="21"/>
  <c r="P84" i="21" s="1"/>
  <c r="P83" i="21" s="1"/>
  <c r="O83" i="21"/>
  <c r="M83" i="21"/>
  <c r="L83" i="21"/>
  <c r="K83" i="21"/>
  <c r="J83" i="21"/>
  <c r="I83" i="21"/>
  <c r="P81" i="21"/>
  <c r="O81" i="21"/>
  <c r="P80" i="21"/>
  <c r="O80" i="21"/>
  <c r="P79" i="21"/>
  <c r="O79" i="21"/>
  <c r="P78" i="21"/>
  <c r="O78" i="21"/>
  <c r="P77" i="21"/>
  <c r="O77" i="21"/>
  <c r="P76" i="21"/>
  <c r="P75" i="21" s="1"/>
  <c r="O76" i="21"/>
  <c r="O75" i="21"/>
  <c r="M75" i="21"/>
  <c r="L75" i="21"/>
  <c r="K75" i="21"/>
  <c r="J75" i="21"/>
  <c r="I75" i="21"/>
  <c r="O74" i="21"/>
  <c r="P74" i="21" s="1"/>
  <c r="P73" i="21"/>
  <c r="O73" i="21"/>
  <c r="M72" i="21"/>
  <c r="L72" i="21"/>
  <c r="L99" i="21" s="1"/>
  <c r="K72" i="21"/>
  <c r="J72" i="21"/>
  <c r="I72" i="21"/>
  <c r="P70" i="21"/>
  <c r="O70" i="21"/>
  <c r="P69" i="21"/>
  <c r="O69" i="21"/>
  <c r="P68" i="21"/>
  <c r="O68" i="21"/>
  <c r="P67" i="21"/>
  <c r="P65" i="21" s="1"/>
  <c r="O67" i="21"/>
  <c r="O65" i="21" s="1"/>
  <c r="P66" i="21"/>
  <c r="O66" i="21"/>
  <c r="M65" i="21"/>
  <c r="L65" i="21"/>
  <c r="K65" i="21"/>
  <c r="J65" i="21"/>
  <c r="I65" i="21"/>
  <c r="P63" i="21"/>
  <c r="O63" i="21"/>
  <c r="O62" i="21"/>
  <c r="P62" i="21" s="1"/>
  <c r="O61" i="21"/>
  <c r="P61" i="21" s="1"/>
  <c r="P60" i="21" s="1"/>
  <c r="M60" i="21"/>
  <c r="L60" i="21"/>
  <c r="K60" i="21"/>
  <c r="J60" i="21"/>
  <c r="I60" i="21"/>
  <c r="P59" i="21"/>
  <c r="P57" i="21" s="1"/>
  <c r="O59" i="21"/>
  <c r="O57" i="21" s="1"/>
  <c r="P58" i="21"/>
  <c r="O58" i="21"/>
  <c r="N57" i="21"/>
  <c r="M57" i="21"/>
  <c r="L57" i="21"/>
  <c r="K57" i="21"/>
  <c r="J57" i="21"/>
  <c r="I57" i="21"/>
  <c r="P55" i="21"/>
  <c r="O55" i="21"/>
  <c r="P54" i="21"/>
  <c r="O54" i="21"/>
  <c r="P53" i="21"/>
  <c r="P51" i="21" s="1"/>
  <c r="O53" i="21"/>
  <c r="P52" i="21"/>
  <c r="O52" i="21"/>
  <c r="O51" i="21"/>
  <c r="M51" i="21"/>
  <c r="L51" i="21"/>
  <c r="K51" i="21"/>
  <c r="J51" i="21"/>
  <c r="I51" i="21"/>
  <c r="P49" i="21"/>
  <c r="O49" i="21"/>
  <c r="P48" i="21"/>
  <c r="O48" i="21"/>
  <c r="O47" i="21"/>
  <c r="P47" i="21" s="1"/>
  <c r="P46" i="21"/>
  <c r="O46" i="21"/>
  <c r="O45" i="21"/>
  <c r="P45" i="21" s="1"/>
  <c r="O44" i="21"/>
  <c r="P44" i="21" s="1"/>
  <c r="M43" i="21"/>
  <c r="L43" i="21"/>
  <c r="K43" i="21"/>
  <c r="J43" i="21"/>
  <c r="I43" i="21"/>
  <c r="P42" i="21"/>
  <c r="O42" i="21"/>
  <c r="P41" i="21"/>
  <c r="P40" i="21" s="1"/>
  <c r="O41" i="21"/>
  <c r="O40" i="21" s="1"/>
  <c r="M40" i="21"/>
  <c r="L40" i="21"/>
  <c r="K40" i="21"/>
  <c r="J40" i="21"/>
  <c r="I40" i="21"/>
  <c r="P38" i="21"/>
  <c r="O38" i="21"/>
  <c r="P37" i="21"/>
  <c r="O37" i="21"/>
  <c r="P36" i="21"/>
  <c r="O36" i="21"/>
  <c r="P35" i="21"/>
  <c r="O35" i="21"/>
  <c r="P34" i="21"/>
  <c r="O34" i="21"/>
  <c r="O33" i="21"/>
  <c r="P33" i="21" s="1"/>
  <c r="O32" i="21"/>
  <c r="P32" i="21" s="1"/>
  <c r="O31" i="21"/>
  <c r="P31" i="21" s="1"/>
  <c r="P30" i="21"/>
  <c r="O30" i="21"/>
  <c r="O29" i="21"/>
  <c r="P29" i="21" s="1"/>
  <c r="O28" i="21"/>
  <c r="P28" i="21" s="1"/>
  <c r="O27" i="21"/>
  <c r="P27" i="21" s="1"/>
  <c r="M26" i="21"/>
  <c r="L26" i="21"/>
  <c r="K26" i="21"/>
  <c r="J26" i="21"/>
  <c r="I26" i="21"/>
  <c r="P24" i="21"/>
  <c r="O24" i="21"/>
  <c r="O23" i="21"/>
  <c r="P23" i="21" s="1"/>
  <c r="P21" i="21" s="1"/>
  <c r="P22" i="21"/>
  <c r="O22" i="21"/>
  <c r="O21" i="21" s="1"/>
  <c r="M21" i="21"/>
  <c r="L21" i="21"/>
  <c r="K21" i="21"/>
  <c r="J21" i="21"/>
  <c r="I21" i="21"/>
  <c r="O20" i="21"/>
  <c r="P20" i="21" s="1"/>
  <c r="O19" i="21"/>
  <c r="P19" i="21" s="1"/>
  <c r="P18" i="21" s="1"/>
  <c r="N18" i="21"/>
  <c r="M18" i="21"/>
  <c r="L18" i="21"/>
  <c r="K18" i="21"/>
  <c r="J18" i="21"/>
  <c r="I18" i="21"/>
  <c r="P16" i="21"/>
  <c r="O16" i="21"/>
  <c r="O15" i="21"/>
  <c r="P15" i="21" s="1"/>
  <c r="O14" i="21"/>
  <c r="P14" i="21" s="1"/>
  <c r="O13" i="21"/>
  <c r="P13" i="21" s="1"/>
  <c r="P12" i="21"/>
  <c r="O12" i="21"/>
  <c r="O11" i="21"/>
  <c r="P11" i="21" s="1"/>
  <c r="O10" i="21"/>
  <c r="P10" i="21" s="1"/>
  <c r="O9" i="21"/>
  <c r="P9" i="21" s="1"/>
  <c r="M8" i="21"/>
  <c r="M99" i="21" s="1"/>
  <c r="L8" i="21"/>
  <c r="K8" i="21"/>
  <c r="K99" i="21" s="1"/>
  <c r="J8" i="21"/>
  <c r="J99" i="21" s="1"/>
  <c r="I8" i="21"/>
  <c r="I99" i="21" s="1"/>
  <c r="P72" i="21" l="1"/>
  <c r="P26" i="21"/>
  <c r="P43" i="21"/>
  <c r="P8" i="21"/>
  <c r="O72" i="21"/>
  <c r="O8" i="21"/>
  <c r="O18" i="21"/>
  <c r="O26" i="21"/>
  <c r="O60" i="21"/>
  <c r="O43" i="21"/>
  <c r="DB27" i="22"/>
  <c r="DA27" i="22"/>
  <c r="CZ27" i="22"/>
  <c r="CY27" i="22"/>
  <c r="CX27" i="22"/>
  <c r="CS27" i="22"/>
  <c r="CR27" i="22"/>
  <c r="CQ27" i="22"/>
  <c r="CP27" i="22"/>
  <c r="CO27" i="22"/>
  <c r="CJ27" i="22"/>
  <c r="CI27" i="22"/>
  <c r="CH27" i="22"/>
  <c r="CG27" i="22"/>
  <c r="CF27" i="22"/>
  <c r="CA27" i="22"/>
  <c r="BZ27" i="22"/>
  <c r="BY27" i="22"/>
  <c r="BX27" i="22"/>
  <c r="BW27" i="22"/>
  <c r="BR27" i="22"/>
  <c r="BQ27" i="22"/>
  <c r="BP27" i="22"/>
  <c r="BO27" i="22"/>
  <c r="BN27" i="22"/>
  <c r="BI27" i="22"/>
  <c r="BH27" i="22"/>
  <c r="BG27" i="22"/>
  <c r="BF27" i="22"/>
  <c r="BE27" i="22"/>
  <c r="AZ27" i="22"/>
  <c r="AY27" i="22"/>
  <c r="AX27" i="22"/>
  <c r="AW27" i="22"/>
  <c r="AV27" i="22"/>
  <c r="AQ27" i="22"/>
  <c r="AP27" i="22"/>
  <c r="AO27" i="22"/>
  <c r="AN27" i="22"/>
  <c r="AM27" i="22"/>
  <c r="AH27" i="22"/>
  <c r="AG27" i="22"/>
  <c r="AF27" i="22"/>
  <c r="AE27" i="22"/>
  <c r="AD27" i="22"/>
  <c r="Y27" i="22"/>
  <c r="X27" i="22"/>
  <c r="W27" i="22"/>
  <c r="V27" i="22"/>
  <c r="U27" i="22"/>
  <c r="Q27" i="22"/>
  <c r="P27" i="22"/>
  <c r="O27" i="22"/>
  <c r="N27" i="22"/>
  <c r="M27" i="22"/>
  <c r="L27" i="22"/>
  <c r="G27" i="22"/>
  <c r="F27" i="22"/>
  <c r="E27" i="22"/>
  <c r="D27" i="22"/>
  <c r="C27" i="22"/>
  <c r="DK26" i="22"/>
  <c r="DJ26" i="22"/>
  <c r="DI26" i="22"/>
  <c r="DH26" i="22"/>
  <c r="DG26" i="22"/>
  <c r="DD26" i="22"/>
  <c r="DE26" i="22" s="1"/>
  <c r="CU26" i="22"/>
  <c r="CV26" i="22" s="1"/>
  <c r="CM26" i="22"/>
  <c r="CL26" i="22"/>
  <c r="CD26" i="22"/>
  <c r="CC26" i="22"/>
  <c r="BT26" i="22"/>
  <c r="BU26" i="22" s="1"/>
  <c r="BK26" i="22"/>
  <c r="BL26" i="22" s="1"/>
  <c r="BC26" i="22"/>
  <c r="BB26" i="22"/>
  <c r="AT26" i="22"/>
  <c r="AS26" i="22"/>
  <c r="AJ26" i="22"/>
  <c r="AK26" i="22" s="1"/>
  <c r="AA26" i="22"/>
  <c r="AB26" i="22" s="1"/>
  <c r="S26" i="22"/>
  <c r="R26" i="22"/>
  <c r="J26" i="22"/>
  <c r="I26" i="22"/>
  <c r="DM26" i="22" s="1"/>
  <c r="DK25" i="22"/>
  <c r="DJ25" i="22"/>
  <c r="DI25" i="22"/>
  <c r="DH25" i="22"/>
  <c r="DG25" i="22"/>
  <c r="DN25" i="22" s="1"/>
  <c r="DE25" i="22"/>
  <c r="DD25" i="22"/>
  <c r="CV25" i="22"/>
  <c r="CU25" i="22"/>
  <c r="CL25" i="22"/>
  <c r="CM25" i="22" s="1"/>
  <c r="CC25" i="22"/>
  <c r="CD25" i="22" s="1"/>
  <c r="BU25" i="22"/>
  <c r="BT25" i="22"/>
  <c r="BL25" i="22"/>
  <c r="BK25" i="22"/>
  <c r="BB25" i="22"/>
  <c r="BC25" i="22" s="1"/>
  <c r="AS25" i="22"/>
  <c r="AT25" i="22" s="1"/>
  <c r="AK25" i="22"/>
  <c r="AJ25" i="22"/>
  <c r="AB25" i="22"/>
  <c r="AA25" i="22"/>
  <c r="R25" i="22"/>
  <c r="S25" i="22" s="1"/>
  <c r="I25" i="22"/>
  <c r="DM25" i="22" s="1"/>
  <c r="DK24" i="22"/>
  <c r="DJ24" i="22"/>
  <c r="DI24" i="22"/>
  <c r="DH24" i="22"/>
  <c r="DG24" i="22"/>
  <c r="DN24" i="22" s="1"/>
  <c r="DE24" i="22"/>
  <c r="DD24" i="22"/>
  <c r="CU24" i="22"/>
  <c r="CV24" i="22" s="1"/>
  <c r="CM24" i="22"/>
  <c r="CL24" i="22"/>
  <c r="CD24" i="22"/>
  <c r="CC24" i="22"/>
  <c r="BU24" i="22"/>
  <c r="BT24" i="22"/>
  <c r="BK24" i="22"/>
  <c r="BL24" i="22" s="1"/>
  <c r="BC24" i="22"/>
  <c r="BB24" i="22"/>
  <c r="AT24" i="22"/>
  <c r="AS24" i="22"/>
  <c r="AK24" i="22"/>
  <c r="AJ24" i="22"/>
  <c r="AA24" i="22"/>
  <c r="AB24" i="22" s="1"/>
  <c r="S24" i="22"/>
  <c r="R24" i="22"/>
  <c r="J24" i="22"/>
  <c r="I24" i="22"/>
  <c r="DM24" i="22" s="1"/>
  <c r="DK23" i="22"/>
  <c r="DJ23" i="22"/>
  <c r="DI23" i="22"/>
  <c r="DH23" i="22"/>
  <c r="DG23" i="22"/>
  <c r="DD23" i="22"/>
  <c r="DE23" i="22" s="1"/>
  <c r="CU23" i="22"/>
  <c r="CV23" i="22" s="1"/>
  <c r="CL23" i="22"/>
  <c r="CM23" i="22" s="1"/>
  <c r="CC23" i="22"/>
  <c r="CD23" i="22" s="1"/>
  <c r="BT23" i="22"/>
  <c r="BU23" i="22" s="1"/>
  <c r="BK23" i="22"/>
  <c r="BL23" i="22" s="1"/>
  <c r="BB23" i="22"/>
  <c r="BC23" i="22" s="1"/>
  <c r="AS23" i="22"/>
  <c r="AT23" i="22" s="1"/>
  <c r="AJ23" i="22"/>
  <c r="AK23" i="22" s="1"/>
  <c r="AA23" i="22"/>
  <c r="AB23" i="22" s="1"/>
  <c r="R23" i="22"/>
  <c r="S23" i="22" s="1"/>
  <c r="I23" i="22"/>
  <c r="DM23" i="22" s="1"/>
  <c r="DN23" i="22" s="1"/>
  <c r="DM22" i="22"/>
  <c r="DK22" i="22"/>
  <c r="DJ22" i="22"/>
  <c r="DI22" i="22"/>
  <c r="DH22" i="22"/>
  <c r="DG22" i="22"/>
  <c r="DN22" i="22" s="1"/>
  <c r="DE22" i="22"/>
  <c r="DD22" i="22"/>
  <c r="CV22" i="22"/>
  <c r="CU22" i="22"/>
  <c r="CL22" i="22"/>
  <c r="CM22" i="22" s="1"/>
  <c r="CD22" i="22"/>
  <c r="CC22" i="22"/>
  <c r="BU22" i="22"/>
  <c r="BT22" i="22"/>
  <c r="BL22" i="22"/>
  <c r="BK22" i="22"/>
  <c r="BB22" i="22"/>
  <c r="BC22" i="22" s="1"/>
  <c r="AT22" i="22"/>
  <c r="AS22" i="22"/>
  <c r="AK22" i="22"/>
  <c r="AJ22" i="22"/>
  <c r="AB22" i="22"/>
  <c r="AA22" i="22"/>
  <c r="R22" i="22"/>
  <c r="S22" i="22" s="1"/>
  <c r="J22" i="22"/>
  <c r="I22" i="22"/>
  <c r="DK21" i="22"/>
  <c r="DJ21" i="22"/>
  <c r="DI21" i="22"/>
  <c r="DH21" i="22"/>
  <c r="DG21" i="22"/>
  <c r="DD21" i="22"/>
  <c r="DE21" i="22" s="1"/>
  <c r="CU21" i="22"/>
  <c r="CV21" i="22" s="1"/>
  <c r="CL21" i="22"/>
  <c r="CM21" i="22" s="1"/>
  <c r="CC21" i="22"/>
  <c r="CD21" i="22" s="1"/>
  <c r="BT21" i="22"/>
  <c r="BU21" i="22" s="1"/>
  <c r="BK21" i="22"/>
  <c r="BL21" i="22" s="1"/>
  <c r="BB21" i="22"/>
  <c r="BC21" i="22" s="1"/>
  <c r="AS21" i="22"/>
  <c r="AT21" i="22" s="1"/>
  <c r="AJ21" i="22"/>
  <c r="AK21" i="22" s="1"/>
  <c r="AA21" i="22"/>
  <c r="AB21" i="22" s="1"/>
  <c r="R21" i="22"/>
  <c r="S21" i="22" s="1"/>
  <c r="I21" i="22"/>
  <c r="J21" i="22" s="1"/>
  <c r="DM20" i="22"/>
  <c r="DK20" i="22"/>
  <c r="DJ20" i="22"/>
  <c r="DI20" i="22"/>
  <c r="DH20" i="22"/>
  <c r="DG20" i="22"/>
  <c r="DN20" i="22" s="1"/>
  <c r="DE20" i="22"/>
  <c r="DD20" i="22"/>
  <c r="CV20" i="22"/>
  <c r="CU20" i="22"/>
  <c r="CM20" i="22"/>
  <c r="CL20" i="22"/>
  <c r="CC20" i="22"/>
  <c r="CD20" i="22" s="1"/>
  <c r="BU20" i="22"/>
  <c r="BT20" i="22"/>
  <c r="BL20" i="22"/>
  <c r="BK20" i="22"/>
  <c r="BC20" i="22"/>
  <c r="BB20" i="22"/>
  <c r="AS20" i="22"/>
  <c r="AT20" i="22" s="1"/>
  <c r="AK20" i="22"/>
  <c r="AJ20" i="22"/>
  <c r="AB20" i="22"/>
  <c r="AA20" i="22"/>
  <c r="S20" i="22"/>
  <c r="R20" i="22"/>
  <c r="I20" i="22"/>
  <c r="J20" i="22" s="1"/>
  <c r="DK19" i="22"/>
  <c r="DJ19" i="22"/>
  <c r="DI19" i="22"/>
  <c r="DH19" i="22"/>
  <c r="DG19" i="22"/>
  <c r="DD19" i="22"/>
  <c r="DE19" i="22" s="1"/>
  <c r="CU19" i="22"/>
  <c r="CV19" i="22" s="1"/>
  <c r="CL19" i="22"/>
  <c r="CM19" i="22" s="1"/>
  <c r="CC19" i="22"/>
  <c r="CD19" i="22" s="1"/>
  <c r="BT19" i="22"/>
  <c r="BU19" i="22" s="1"/>
  <c r="BK19" i="22"/>
  <c r="BL19" i="22" s="1"/>
  <c r="BB19" i="22"/>
  <c r="BC19" i="22" s="1"/>
  <c r="AS19" i="22"/>
  <c r="AT19" i="22" s="1"/>
  <c r="AJ19" i="22"/>
  <c r="AK19" i="22" s="1"/>
  <c r="AA19" i="22"/>
  <c r="AB19" i="22" s="1"/>
  <c r="R19" i="22"/>
  <c r="S19" i="22" s="1"/>
  <c r="I19" i="22"/>
  <c r="J19" i="22" s="1"/>
  <c r="DM18" i="22"/>
  <c r="DN18" i="22" s="1"/>
  <c r="DK18" i="22"/>
  <c r="DJ18" i="22"/>
  <c r="DI18" i="22"/>
  <c r="DH18" i="22"/>
  <c r="DG18" i="22"/>
  <c r="DD18" i="22"/>
  <c r="DE18" i="22" s="1"/>
  <c r="CV18" i="22"/>
  <c r="CU18" i="22"/>
  <c r="CM18" i="22"/>
  <c r="CL18" i="22"/>
  <c r="CD18" i="22"/>
  <c r="CC18" i="22"/>
  <c r="BT18" i="22"/>
  <c r="BU18" i="22" s="1"/>
  <c r="BL18" i="22"/>
  <c r="BK18" i="22"/>
  <c r="BC18" i="22"/>
  <c r="BB18" i="22"/>
  <c r="AT18" i="22"/>
  <c r="AS18" i="22"/>
  <c r="AJ18" i="22"/>
  <c r="AK18" i="22" s="1"/>
  <c r="AB18" i="22"/>
  <c r="AA18" i="22"/>
  <c r="S18" i="22"/>
  <c r="R18" i="22"/>
  <c r="J18" i="22"/>
  <c r="I18" i="22"/>
  <c r="DK17" i="22"/>
  <c r="DJ17" i="22"/>
  <c r="DI17" i="22"/>
  <c r="DH17" i="22"/>
  <c r="DG17" i="22"/>
  <c r="DN17" i="22" s="1"/>
  <c r="DD17" i="22"/>
  <c r="DE17" i="22" s="1"/>
  <c r="CU17" i="22"/>
  <c r="CV17" i="22" s="1"/>
  <c r="CL17" i="22"/>
  <c r="CM17" i="22" s="1"/>
  <c r="CC17" i="22"/>
  <c r="CD17" i="22" s="1"/>
  <c r="BT17" i="22"/>
  <c r="BU17" i="22" s="1"/>
  <c r="BK17" i="22"/>
  <c r="BL17" i="22" s="1"/>
  <c r="BB17" i="22"/>
  <c r="BC17" i="22" s="1"/>
  <c r="AS17" i="22"/>
  <c r="AT17" i="22" s="1"/>
  <c r="AJ17" i="22"/>
  <c r="AK17" i="22" s="1"/>
  <c r="AA17" i="22"/>
  <c r="AB17" i="22" s="1"/>
  <c r="R17" i="22"/>
  <c r="S17" i="22" s="1"/>
  <c r="I17" i="22"/>
  <c r="DM17" i="22" s="1"/>
  <c r="DK16" i="22"/>
  <c r="DJ16" i="22"/>
  <c r="DI16" i="22"/>
  <c r="DH16" i="22"/>
  <c r="DG16" i="22"/>
  <c r="DN16" i="22" s="1"/>
  <c r="DE16" i="22"/>
  <c r="DD16" i="22"/>
  <c r="CU16" i="22"/>
  <c r="CV16" i="22" s="1"/>
  <c r="CM16" i="22"/>
  <c r="CL16" i="22"/>
  <c r="CD16" i="22"/>
  <c r="CC16" i="22"/>
  <c r="BU16" i="22"/>
  <c r="BT16" i="22"/>
  <c r="BK16" i="22"/>
  <c r="BL16" i="22" s="1"/>
  <c r="BC16" i="22"/>
  <c r="BB16" i="22"/>
  <c r="AT16" i="22"/>
  <c r="AS16" i="22"/>
  <c r="AK16" i="22"/>
  <c r="AJ16" i="22"/>
  <c r="AA16" i="22"/>
  <c r="AB16" i="22" s="1"/>
  <c r="S16" i="22"/>
  <c r="R16" i="22"/>
  <c r="J16" i="22"/>
  <c r="I16" i="22"/>
  <c r="DM16" i="22" s="1"/>
  <c r="DK15" i="22"/>
  <c r="DJ15" i="22"/>
  <c r="DI15" i="22"/>
  <c r="DH15" i="22"/>
  <c r="DG15" i="22"/>
  <c r="DD15" i="22"/>
  <c r="DE15" i="22" s="1"/>
  <c r="CU15" i="22"/>
  <c r="CV15" i="22" s="1"/>
  <c r="CL15" i="22"/>
  <c r="CM15" i="22" s="1"/>
  <c r="CC15" i="22"/>
  <c r="CD15" i="22" s="1"/>
  <c r="BT15" i="22"/>
  <c r="BU15" i="22" s="1"/>
  <c r="BK15" i="22"/>
  <c r="BL15" i="22" s="1"/>
  <c r="BB15" i="22"/>
  <c r="BC15" i="22" s="1"/>
  <c r="AS15" i="22"/>
  <c r="AT15" i="22" s="1"/>
  <c r="AJ15" i="22"/>
  <c r="AK15" i="22" s="1"/>
  <c r="AA15" i="22"/>
  <c r="AB15" i="22" s="1"/>
  <c r="R15" i="22"/>
  <c r="S15" i="22" s="1"/>
  <c r="I15" i="22"/>
  <c r="DM15" i="22" s="1"/>
  <c r="DN15" i="22" s="1"/>
  <c r="DM14" i="22"/>
  <c r="DK14" i="22"/>
  <c r="DJ14" i="22"/>
  <c r="DI14" i="22"/>
  <c r="DH14" i="22"/>
  <c r="DG14" i="22"/>
  <c r="DN14" i="22" s="1"/>
  <c r="DE14" i="22"/>
  <c r="DD14" i="22"/>
  <c r="CV14" i="22"/>
  <c r="CU14" i="22"/>
  <c r="CL14" i="22"/>
  <c r="CM14" i="22" s="1"/>
  <c r="CD14" i="22"/>
  <c r="CC14" i="22"/>
  <c r="BU14" i="22"/>
  <c r="BT14" i="22"/>
  <c r="BL14" i="22"/>
  <c r="BK14" i="22"/>
  <c r="BB14" i="22"/>
  <c r="BC14" i="22" s="1"/>
  <c r="AT14" i="22"/>
  <c r="AS14" i="22"/>
  <c r="AK14" i="22"/>
  <c r="AJ14" i="22"/>
  <c r="AB14" i="22"/>
  <c r="AA14" i="22"/>
  <c r="R14" i="22"/>
  <c r="S14" i="22" s="1"/>
  <c r="J14" i="22"/>
  <c r="I14" i="22"/>
  <c r="DK13" i="22"/>
  <c r="DJ13" i="22"/>
  <c r="DI13" i="22"/>
  <c r="DH13" i="22"/>
  <c r="DG13" i="22"/>
  <c r="DD13" i="22"/>
  <c r="DE13" i="22" s="1"/>
  <c r="CU13" i="22"/>
  <c r="CV13" i="22" s="1"/>
  <c r="CL13" i="22"/>
  <c r="CM13" i="22" s="1"/>
  <c r="CC13" i="22"/>
  <c r="CD13" i="22" s="1"/>
  <c r="BT13" i="22"/>
  <c r="BU13" i="22" s="1"/>
  <c r="BK13" i="22"/>
  <c r="BL13" i="22" s="1"/>
  <c r="BB13" i="22"/>
  <c r="BC13" i="22" s="1"/>
  <c r="AS13" i="22"/>
  <c r="AT13" i="22" s="1"/>
  <c r="AJ13" i="22"/>
  <c r="AK13" i="22" s="1"/>
  <c r="AA13" i="22"/>
  <c r="AB13" i="22" s="1"/>
  <c r="R13" i="22"/>
  <c r="S13" i="22" s="1"/>
  <c r="I13" i="22"/>
  <c r="J13" i="22" s="1"/>
  <c r="DM12" i="22"/>
  <c r="DK12" i="22"/>
  <c r="DJ12" i="22"/>
  <c r="DI12" i="22"/>
  <c r="DH12" i="22"/>
  <c r="DG12" i="22"/>
  <c r="DN12" i="22" s="1"/>
  <c r="DE12" i="22"/>
  <c r="DD12" i="22"/>
  <c r="CV12" i="22"/>
  <c r="CU12" i="22"/>
  <c r="CM12" i="22"/>
  <c r="CL12" i="22"/>
  <c r="CC12" i="22"/>
  <c r="CD12" i="22" s="1"/>
  <c r="BU12" i="22"/>
  <c r="BT12" i="22"/>
  <c r="BL12" i="22"/>
  <c r="BK12" i="22"/>
  <c r="BC12" i="22"/>
  <c r="BB12" i="22"/>
  <c r="AS12" i="22"/>
  <c r="AT12" i="22" s="1"/>
  <c r="AK12" i="22"/>
  <c r="AJ12" i="22"/>
  <c r="AB12" i="22"/>
  <c r="AA12" i="22"/>
  <c r="S12" i="22"/>
  <c r="R12" i="22"/>
  <c r="I12" i="22"/>
  <c r="J12" i="22" s="1"/>
  <c r="DK11" i="22"/>
  <c r="DJ11" i="22"/>
  <c r="DI11" i="22"/>
  <c r="DH11" i="22"/>
  <c r="DG11" i="22"/>
  <c r="DD11" i="22"/>
  <c r="DE11" i="22" s="1"/>
  <c r="CU11" i="22"/>
  <c r="CV11" i="22" s="1"/>
  <c r="CL11" i="22"/>
  <c r="CM11" i="22" s="1"/>
  <c r="CC11" i="22"/>
  <c r="CD11" i="22" s="1"/>
  <c r="BT11" i="22"/>
  <c r="BU11" i="22" s="1"/>
  <c r="BK11" i="22"/>
  <c r="BL11" i="22" s="1"/>
  <c r="BB11" i="22"/>
  <c r="BC11" i="22" s="1"/>
  <c r="AS11" i="22"/>
  <c r="AT11" i="22" s="1"/>
  <c r="AJ11" i="22"/>
  <c r="AK11" i="22" s="1"/>
  <c r="AA11" i="22"/>
  <c r="AB11" i="22" s="1"/>
  <c r="R11" i="22"/>
  <c r="S11" i="22" s="1"/>
  <c r="I11" i="22"/>
  <c r="J11" i="22" s="1"/>
  <c r="DM10" i="22"/>
  <c r="DN10" i="22" s="1"/>
  <c r="DK10" i="22"/>
  <c r="DK27" i="22" s="1"/>
  <c r="DJ10" i="22"/>
  <c r="DJ27" i="22" s="1"/>
  <c r="DI10" i="22"/>
  <c r="DI27" i="22" s="1"/>
  <c r="DH10" i="22"/>
  <c r="DH27" i="22" s="1"/>
  <c r="DG10" i="22"/>
  <c r="DG27" i="22" s="1"/>
  <c r="DD10" i="22"/>
  <c r="DE10" i="22" s="1"/>
  <c r="CV10" i="22"/>
  <c r="CU10" i="22"/>
  <c r="CM10" i="22"/>
  <c r="CL10" i="22"/>
  <c r="CL27" i="22" s="1"/>
  <c r="CD10" i="22"/>
  <c r="CC10" i="22"/>
  <c r="CC27" i="22" s="1"/>
  <c r="BT10" i="22"/>
  <c r="BU10" i="22" s="1"/>
  <c r="BL10" i="22"/>
  <c r="BK10" i="22"/>
  <c r="BK27" i="22" s="1"/>
  <c r="BC10" i="22"/>
  <c r="BB10" i="22"/>
  <c r="BB27" i="22" s="1"/>
  <c r="AT10" i="22"/>
  <c r="AT27" i="22" s="1"/>
  <c r="AS10" i="22"/>
  <c r="AJ10" i="22"/>
  <c r="AK10" i="22" s="1"/>
  <c r="AB10" i="22"/>
  <c r="AA10" i="22"/>
  <c r="S10" i="22"/>
  <c r="R10" i="22"/>
  <c r="R27" i="22" s="1"/>
  <c r="J10" i="22"/>
  <c r="I10" i="22"/>
  <c r="I27" i="22" s="1"/>
  <c r="N24" i="23"/>
  <c r="M24" i="23"/>
  <c r="L24" i="23"/>
  <c r="K24" i="23"/>
  <c r="J24" i="23"/>
  <c r="I24" i="23"/>
  <c r="H24" i="23"/>
  <c r="G24" i="23"/>
  <c r="F24" i="23"/>
  <c r="E24" i="23"/>
  <c r="D24" i="23"/>
  <c r="C24" i="23"/>
  <c r="O23" i="23"/>
  <c r="O22" i="23"/>
  <c r="O21" i="23"/>
  <c r="O20" i="23"/>
  <c r="O19" i="23"/>
  <c r="O18" i="23"/>
  <c r="O17" i="23"/>
  <c r="O16" i="23"/>
  <c r="O15" i="23"/>
  <c r="O14" i="23"/>
  <c r="O13" i="23"/>
  <c r="O12" i="23"/>
  <c r="O24" i="23" s="1"/>
  <c r="O11" i="23"/>
  <c r="O10" i="23"/>
  <c r="O9" i="23"/>
  <c r="O8" i="23"/>
  <c r="O7" i="23"/>
  <c r="O99" i="21" l="1"/>
  <c r="P99" i="21"/>
  <c r="CM27" i="22"/>
  <c r="BC27" i="22"/>
  <c r="S27" i="22"/>
  <c r="BL27" i="22"/>
  <c r="DE27" i="22"/>
  <c r="CV27" i="22"/>
  <c r="AB27" i="22"/>
  <c r="BU27" i="22"/>
  <c r="AK27" i="22"/>
  <c r="DN26" i="22"/>
  <c r="CD27" i="22"/>
  <c r="AS27" i="22"/>
  <c r="DM13" i="22"/>
  <c r="DN13" i="22" s="1"/>
  <c r="J17" i="22"/>
  <c r="DM21" i="22"/>
  <c r="DN21" i="22" s="1"/>
  <c r="J25" i="22"/>
  <c r="AJ27" i="22"/>
  <c r="DD27" i="22"/>
  <c r="AA27" i="22"/>
  <c r="CU27" i="22"/>
  <c r="DM11" i="22"/>
  <c r="DN11" i="22" s="1"/>
  <c r="DN27" i="22" s="1"/>
  <c r="J15" i="22"/>
  <c r="J27" i="22" s="1"/>
  <c r="DM19" i="22"/>
  <c r="DN19" i="22" s="1"/>
  <c r="J23" i="22"/>
  <c r="BT27" i="22"/>
  <c r="DM27" i="22" l="1"/>
  <c r="O206" i="18" l="1"/>
  <c r="O205" i="18"/>
  <c r="O204" i="18"/>
  <c r="M204" i="18"/>
  <c r="L204" i="18"/>
  <c r="K204" i="18"/>
  <c r="J204" i="18"/>
  <c r="I204" i="18"/>
  <c r="O203" i="18"/>
  <c r="O202" i="18"/>
  <c r="O201" i="18"/>
  <c r="O200" i="18" s="1"/>
  <c r="M200" i="18"/>
  <c r="L200" i="18"/>
  <c r="K200" i="18"/>
  <c r="J200" i="18"/>
  <c r="I200" i="18"/>
  <c r="I199" i="18"/>
  <c r="I198" i="18" s="1"/>
  <c r="M198" i="18"/>
  <c r="L198" i="18"/>
  <c r="K198" i="18"/>
  <c r="J198" i="18"/>
  <c r="O197" i="18"/>
  <c r="O196" i="18"/>
  <c r="O195" i="18"/>
  <c r="O194" i="18"/>
  <c r="O193" i="18"/>
  <c r="O192" i="18" s="1"/>
  <c r="M192" i="18"/>
  <c r="L192" i="18"/>
  <c r="K192" i="18"/>
  <c r="J192" i="18"/>
  <c r="I192" i="18"/>
  <c r="O191" i="18"/>
  <c r="O190" i="18"/>
  <c r="O188" i="18" s="1"/>
  <c r="O189" i="18"/>
  <c r="M188" i="18"/>
  <c r="L188" i="18"/>
  <c r="K188" i="18"/>
  <c r="J188" i="18"/>
  <c r="I188" i="18"/>
  <c r="O187" i="18"/>
  <c r="O186" i="18"/>
  <c r="O185" i="18"/>
  <c r="O184" i="18"/>
  <c r="O183" i="18"/>
  <c r="O182" i="18"/>
  <c r="O181" i="18"/>
  <c r="O180" i="18"/>
  <c r="O179" i="18"/>
  <c r="O178" i="18"/>
  <c r="O177" i="18"/>
  <c r="O176" i="18"/>
  <c r="O175" i="18"/>
  <c r="O174" i="18"/>
  <c r="O173" i="18"/>
  <c r="O172" i="18"/>
  <c r="O171" i="18"/>
  <c r="O170" i="18"/>
  <c r="O169" i="18"/>
  <c r="I168" i="18"/>
  <c r="O168" i="18" s="1"/>
  <c r="O167" i="18"/>
  <c r="I167" i="18"/>
  <c r="O166" i="18"/>
  <c r="O165" i="18" s="1"/>
  <c r="N165" i="18"/>
  <c r="M165" i="18"/>
  <c r="L165" i="18"/>
  <c r="K165" i="18"/>
  <c r="J165" i="18"/>
  <c r="I165" i="18"/>
  <c r="O164" i="18"/>
  <c r="O163" i="18"/>
  <c r="O162" i="18"/>
  <c r="O161" i="18"/>
  <c r="O160" i="18"/>
  <c r="O159" i="18" s="1"/>
  <c r="N159" i="18"/>
  <c r="M159" i="18"/>
  <c r="L159" i="18"/>
  <c r="K159" i="18"/>
  <c r="J159" i="18"/>
  <c r="I159" i="18"/>
  <c r="O158" i="18"/>
  <c r="O157" i="18"/>
  <c r="O156" i="18"/>
  <c r="K155" i="18"/>
  <c r="J155" i="18"/>
  <c r="O155" i="18" s="1"/>
  <c r="I155" i="18"/>
  <c r="O154" i="18"/>
  <c r="O153" i="18"/>
  <c r="K152" i="18"/>
  <c r="K144" i="18" s="1"/>
  <c r="J152" i="18"/>
  <c r="J144" i="18" s="1"/>
  <c r="I152" i="18"/>
  <c r="O152" i="18" s="1"/>
  <c r="O151" i="18"/>
  <c r="I151" i="18"/>
  <c r="O150" i="18"/>
  <c r="O149" i="18"/>
  <c r="O148" i="18"/>
  <c r="O147" i="18"/>
  <c r="O146" i="18"/>
  <c r="O145" i="18"/>
  <c r="M144" i="18"/>
  <c r="L144" i="18"/>
  <c r="I144" i="18"/>
  <c r="O143" i="18"/>
  <c r="O142" i="18"/>
  <c r="O141" i="18"/>
  <c r="O140" i="18"/>
  <c r="O139" i="18"/>
  <c r="O138" i="18"/>
  <c r="O137" i="18"/>
  <c r="O136" i="18"/>
  <c r="O135" i="18"/>
  <c r="O134" i="18"/>
  <c r="O133" i="18"/>
  <c r="O132" i="18"/>
  <c r="O131" i="18"/>
  <c r="O130" i="18"/>
  <c r="O129" i="18"/>
  <c r="O128" i="18"/>
  <c r="O127" i="18" s="1"/>
  <c r="M127" i="18"/>
  <c r="L127" i="18"/>
  <c r="K127" i="18"/>
  <c r="J127" i="18"/>
  <c r="I127" i="18"/>
  <c r="I126" i="18"/>
  <c r="I122" i="18" s="1"/>
  <c r="I125" i="18"/>
  <c r="O125" i="18" s="1"/>
  <c r="O124" i="18"/>
  <c r="O123" i="18"/>
  <c r="M122" i="18"/>
  <c r="L122" i="18"/>
  <c r="K122" i="18"/>
  <c r="J122" i="18"/>
  <c r="O121" i="18"/>
  <c r="O120" i="18"/>
  <c r="O119" i="18"/>
  <c r="O118" i="18"/>
  <c r="O117" i="18" s="1"/>
  <c r="M117" i="18"/>
  <c r="L117" i="18"/>
  <c r="K117" i="18"/>
  <c r="J117" i="18"/>
  <c r="I117" i="18"/>
  <c r="O116" i="18"/>
  <c r="O115" i="18"/>
  <c r="O114" i="18"/>
  <c r="O113" i="18"/>
  <c r="O112" i="18"/>
  <c r="O111" i="18"/>
  <c r="O110" i="18"/>
  <c r="O109" i="18"/>
  <c r="O108" i="18"/>
  <c r="O107" i="18"/>
  <c r="O106" i="18"/>
  <c r="O105" i="18"/>
  <c r="O104" i="18"/>
  <c r="O103" i="18"/>
  <c r="O102" i="18"/>
  <c r="O101" i="18"/>
  <c r="O100" i="18"/>
  <c r="O99" i="18"/>
  <c r="O98" i="18"/>
  <c r="O97" i="18"/>
  <c r="O96" i="18"/>
  <c r="O95" i="18"/>
  <c r="O94" i="18"/>
  <c r="O93" i="18"/>
  <c r="O92" i="18"/>
  <c r="O91" i="18"/>
  <c r="O90" i="18"/>
  <c r="O89" i="18"/>
  <c r="O88" i="18"/>
  <c r="O87" i="18"/>
  <c r="O86" i="18"/>
  <c r="I85" i="18"/>
  <c r="O85" i="18" s="1"/>
  <c r="O84" i="18"/>
  <c r="O83" i="18"/>
  <c r="O82" i="18"/>
  <c r="O81" i="18"/>
  <c r="O80" i="18"/>
  <c r="O79" i="18"/>
  <c r="O78" i="18"/>
  <c r="M77" i="18"/>
  <c r="L77" i="18"/>
  <c r="K77" i="18"/>
  <c r="J77" i="18"/>
  <c r="I77" i="18"/>
  <c r="O76" i="18"/>
  <c r="O75" i="18"/>
  <c r="O74" i="18"/>
  <c r="O73" i="18"/>
  <c r="O72" i="18"/>
  <c r="O71" i="18"/>
  <c r="O70" i="18" s="1"/>
  <c r="M70" i="18"/>
  <c r="L70" i="18"/>
  <c r="K70" i="18"/>
  <c r="J70" i="18"/>
  <c r="I70" i="18"/>
  <c r="O69" i="18"/>
  <c r="O68" i="18"/>
  <c r="O67" i="18"/>
  <c r="O66" i="18"/>
  <c r="O65" i="18"/>
  <c r="O64" i="18"/>
  <c r="O63" i="18"/>
  <c r="O62" i="18"/>
  <c r="O61" i="18"/>
  <c r="O60" i="18"/>
  <c r="O59" i="18"/>
  <c r="O58" i="18"/>
  <c r="O57" i="18"/>
  <c r="O56" i="18"/>
  <c r="O55" i="18"/>
  <c r="I54" i="18"/>
  <c r="O54" i="18" s="1"/>
  <c r="O53" i="18"/>
  <c r="O52" i="18"/>
  <c r="O51" i="18"/>
  <c r="O50" i="18"/>
  <c r="O49" i="18" s="1"/>
  <c r="M49" i="18"/>
  <c r="L49" i="18"/>
  <c r="K49" i="18"/>
  <c r="J49" i="18"/>
  <c r="I49" i="18"/>
  <c r="O48" i="18"/>
  <c r="O47" i="18"/>
  <c r="O46" i="18"/>
  <c r="O45" i="18"/>
  <c r="O44" i="18" s="1"/>
  <c r="M44" i="18"/>
  <c r="L44" i="18"/>
  <c r="K44" i="18"/>
  <c r="J44" i="18"/>
  <c r="I44" i="18"/>
  <c r="I43" i="18"/>
  <c r="O43" i="18" s="1"/>
  <c r="I42" i="18"/>
  <c r="O42" i="18" s="1"/>
  <c r="O41" i="18"/>
  <c r="I40" i="18"/>
  <c r="O40" i="18" s="1"/>
  <c r="O39" i="18"/>
  <c r="I39" i="18"/>
  <c r="O38" i="18"/>
  <c r="O37" i="18"/>
  <c r="O36" i="18"/>
  <c r="O35" i="18"/>
  <c r="I35" i="18"/>
  <c r="O34" i="18"/>
  <c r="O33" i="18"/>
  <c r="O32" i="18"/>
  <c r="O31" i="18"/>
  <c r="M30" i="18"/>
  <c r="L30" i="18"/>
  <c r="L208" i="18" s="1"/>
  <c r="K30" i="18"/>
  <c r="J30" i="18"/>
  <c r="I30" i="18"/>
  <c r="I29" i="18"/>
  <c r="O29" i="18" s="1"/>
  <c r="O28" i="18"/>
  <c r="O27" i="18"/>
  <c r="O26" i="18"/>
  <c r="O25" i="18"/>
  <c r="O24" i="18"/>
  <c r="O23" i="18"/>
  <c r="O22" i="18"/>
  <c r="O21" i="18"/>
  <c r="O20" i="18"/>
  <c r="O19" i="18"/>
  <c r="O18" i="18"/>
  <c r="O17" i="18"/>
  <c r="O16" i="18"/>
  <c r="O15" i="18"/>
  <c r="O8" i="18" s="1"/>
  <c r="O14" i="18"/>
  <c r="O13" i="18"/>
  <c r="O12" i="18"/>
  <c r="O11" i="18"/>
  <c r="O10" i="18"/>
  <c r="O9" i="18"/>
  <c r="M8" i="18"/>
  <c r="M208" i="18" s="1"/>
  <c r="L8" i="18"/>
  <c r="K8" i="18"/>
  <c r="K208" i="18" s="1"/>
  <c r="J8" i="18"/>
  <c r="J208" i="18" s="1"/>
  <c r="CQ27" i="19"/>
  <c r="CP27" i="19"/>
  <c r="CO27" i="19"/>
  <c r="CN27" i="19"/>
  <c r="CM27" i="19"/>
  <c r="CI27" i="19"/>
  <c r="CH27" i="19"/>
  <c r="CG27" i="19"/>
  <c r="CF27" i="19"/>
  <c r="CE27" i="19"/>
  <c r="CA27" i="19"/>
  <c r="BZ27" i="19"/>
  <c r="BY27" i="19"/>
  <c r="BX27" i="19"/>
  <c r="BW27" i="19"/>
  <c r="BS27" i="19"/>
  <c r="BR27" i="19"/>
  <c r="BQ27" i="19"/>
  <c r="BP27" i="19"/>
  <c r="BO27" i="19"/>
  <c r="BK27" i="19"/>
  <c r="BJ27" i="19"/>
  <c r="BI27" i="19"/>
  <c r="BH27" i="19"/>
  <c r="BG27" i="19"/>
  <c r="BC27" i="19"/>
  <c r="BB27" i="19"/>
  <c r="BA27" i="19"/>
  <c r="AZ27" i="19"/>
  <c r="AY27" i="19"/>
  <c r="AU27" i="19"/>
  <c r="AT27" i="19"/>
  <c r="AS27" i="19"/>
  <c r="AR27" i="19"/>
  <c r="AQ27" i="19"/>
  <c r="AM27" i="19"/>
  <c r="AL27" i="19"/>
  <c r="AK27" i="19"/>
  <c r="AJ27" i="19"/>
  <c r="AI27" i="19"/>
  <c r="AE27" i="19"/>
  <c r="AD27" i="19"/>
  <c r="AC27" i="19"/>
  <c r="AB27" i="19"/>
  <c r="AA27" i="19"/>
  <c r="W27" i="19"/>
  <c r="V27" i="19"/>
  <c r="U27" i="19"/>
  <c r="T27" i="19"/>
  <c r="S27" i="19"/>
  <c r="O27" i="19"/>
  <c r="N27" i="19"/>
  <c r="M27" i="19"/>
  <c r="L27" i="19"/>
  <c r="K27" i="19"/>
  <c r="G27" i="19"/>
  <c r="F27" i="19"/>
  <c r="E27" i="19"/>
  <c r="D27" i="19"/>
  <c r="C27" i="19"/>
  <c r="CY26" i="19"/>
  <c r="CX26" i="19"/>
  <c r="CW26" i="19"/>
  <c r="CV26" i="19"/>
  <c r="CU26" i="19"/>
  <c r="DA26" i="19" s="1"/>
  <c r="CS26" i="19"/>
  <c r="CK26" i="19"/>
  <c r="CC26" i="19"/>
  <c r="BU26" i="19"/>
  <c r="BM26" i="19"/>
  <c r="BE26" i="19"/>
  <c r="AW26" i="19"/>
  <c r="AO26" i="19"/>
  <c r="AG26" i="19"/>
  <c r="Y26" i="19"/>
  <c r="Q26" i="19"/>
  <c r="I26" i="19"/>
  <c r="CY25" i="19"/>
  <c r="CX25" i="19"/>
  <c r="CW25" i="19"/>
  <c r="CV25" i="19"/>
  <c r="CU25" i="19"/>
  <c r="DA25" i="19" s="1"/>
  <c r="CS25" i="19"/>
  <c r="CK25" i="19"/>
  <c r="CC25" i="19"/>
  <c r="BU25" i="19"/>
  <c r="BM25" i="19"/>
  <c r="BE25" i="19"/>
  <c r="AW25" i="19"/>
  <c r="AO25" i="19"/>
  <c r="Y25" i="19"/>
  <c r="Q25" i="19"/>
  <c r="I25" i="19"/>
  <c r="DA24" i="19"/>
  <c r="CY24" i="19"/>
  <c r="CX24" i="19"/>
  <c r="CW24" i="19"/>
  <c r="CV24" i="19"/>
  <c r="CU24" i="19"/>
  <c r="CS24" i="19"/>
  <c r="CK24" i="19"/>
  <c r="CC24" i="19"/>
  <c r="BU24" i="19"/>
  <c r="BM24" i="19"/>
  <c r="BE24" i="19"/>
  <c r="AW24" i="19"/>
  <c r="AO24" i="19"/>
  <c r="AG24" i="19"/>
  <c r="Y24" i="19"/>
  <c r="Q24" i="19"/>
  <c r="I24" i="19"/>
  <c r="DA23" i="19"/>
  <c r="CY23" i="19"/>
  <c r="CX23" i="19"/>
  <c r="CW23" i="19"/>
  <c r="CV23" i="19"/>
  <c r="CU23" i="19"/>
  <c r="CS23" i="19"/>
  <c r="CK23" i="19"/>
  <c r="CC23" i="19"/>
  <c r="BU23" i="19"/>
  <c r="BM23" i="19"/>
  <c r="BE23" i="19"/>
  <c r="AW23" i="19"/>
  <c r="AO23" i="19"/>
  <c r="AG23" i="19"/>
  <c r="Y23" i="19"/>
  <c r="Q23" i="19"/>
  <c r="I23" i="19"/>
  <c r="CY22" i="19"/>
  <c r="CX22" i="19"/>
  <c r="CW22" i="19"/>
  <c r="CV22" i="19"/>
  <c r="CU22" i="19"/>
  <c r="DA22" i="19" s="1"/>
  <c r="CS22" i="19"/>
  <c r="CK22" i="19"/>
  <c r="CC22" i="19"/>
  <c r="BU22" i="19"/>
  <c r="BM22" i="19"/>
  <c r="BE22" i="19"/>
  <c r="AW22" i="19"/>
  <c r="AO22" i="19"/>
  <c r="AG22" i="19"/>
  <c r="Y22" i="19"/>
  <c r="Q22" i="19"/>
  <c r="I22" i="19"/>
  <c r="CY21" i="19"/>
  <c r="CX21" i="19"/>
  <c r="CW21" i="19"/>
  <c r="CV21" i="19"/>
  <c r="DA21" i="19" s="1"/>
  <c r="CU21" i="19"/>
  <c r="CS21" i="19"/>
  <c r="CK21" i="19"/>
  <c r="CC21" i="19"/>
  <c r="BU21" i="19"/>
  <c r="BM21" i="19"/>
  <c r="BE21" i="19"/>
  <c r="AW21" i="19"/>
  <c r="AG21" i="19"/>
  <c r="Y21" i="19"/>
  <c r="Q21" i="19"/>
  <c r="I21" i="19"/>
  <c r="CY20" i="19"/>
  <c r="CX20" i="19"/>
  <c r="CW20" i="19"/>
  <c r="CV20" i="19"/>
  <c r="CU20" i="19"/>
  <c r="DA20" i="19" s="1"/>
  <c r="CS20" i="19"/>
  <c r="CK20" i="19"/>
  <c r="CC20" i="19"/>
  <c r="BU20" i="19"/>
  <c r="BM20" i="19"/>
  <c r="BE20" i="19"/>
  <c r="AW20" i="19"/>
  <c r="AO20" i="19"/>
  <c r="AG20" i="19"/>
  <c r="Y20" i="19"/>
  <c r="Q20" i="19"/>
  <c r="I20" i="19"/>
  <c r="CY19" i="19"/>
  <c r="CX19" i="19"/>
  <c r="CW19" i="19"/>
  <c r="CV19" i="19"/>
  <c r="CU19" i="19"/>
  <c r="DA19" i="19" s="1"/>
  <c r="CS19" i="19"/>
  <c r="CK19" i="19"/>
  <c r="CC19" i="19"/>
  <c r="BU19" i="19"/>
  <c r="BM19" i="19"/>
  <c r="BE19" i="19"/>
  <c r="AW19" i="19"/>
  <c r="AG19" i="19"/>
  <c r="Y19" i="19"/>
  <c r="Q19" i="19"/>
  <c r="I19" i="19"/>
  <c r="DA18" i="19"/>
  <c r="CY18" i="19"/>
  <c r="CX18" i="19"/>
  <c r="CW18" i="19"/>
  <c r="CV18" i="19"/>
  <c r="CU18" i="19"/>
  <c r="CS18" i="19"/>
  <c r="CK18" i="19"/>
  <c r="CC18" i="19"/>
  <c r="BU18" i="19"/>
  <c r="BM18" i="19"/>
  <c r="BE18" i="19"/>
  <c r="AW18" i="19"/>
  <c r="AO18" i="19"/>
  <c r="Y18" i="19"/>
  <c r="Q18" i="19"/>
  <c r="I18" i="19"/>
  <c r="CY17" i="19"/>
  <c r="CX17" i="19"/>
  <c r="CW17" i="19"/>
  <c r="CV17" i="19"/>
  <c r="CU17" i="19"/>
  <c r="DA17" i="19" s="1"/>
  <c r="CS17" i="19"/>
  <c r="CK17" i="19"/>
  <c r="CC17" i="19"/>
  <c r="BU17" i="19"/>
  <c r="BM17" i="19"/>
  <c r="BE17" i="19"/>
  <c r="AW17" i="19"/>
  <c r="AG17" i="19"/>
  <c r="Y17" i="19"/>
  <c r="Q17" i="19"/>
  <c r="I17" i="19"/>
  <c r="CY16" i="19"/>
  <c r="CX16" i="19"/>
  <c r="CW16" i="19"/>
  <c r="CV16" i="19"/>
  <c r="CU16" i="19"/>
  <c r="DA16" i="19" s="1"/>
  <c r="CS16" i="19"/>
  <c r="CK16" i="19"/>
  <c r="CC16" i="19"/>
  <c r="BU16" i="19"/>
  <c r="BM16" i="19"/>
  <c r="BE16" i="19"/>
  <c r="AW16" i="19"/>
  <c r="AG16" i="19"/>
  <c r="Y16" i="19"/>
  <c r="Q16" i="19"/>
  <c r="I16" i="19"/>
  <c r="CY15" i="19"/>
  <c r="CX15" i="19"/>
  <c r="CW15" i="19"/>
  <c r="CV15" i="19"/>
  <c r="CU15" i="19"/>
  <c r="DA15" i="19" s="1"/>
  <c r="CS15" i="19"/>
  <c r="CK15" i="19"/>
  <c r="CC15" i="19"/>
  <c r="BU15" i="19"/>
  <c r="BM15" i="19"/>
  <c r="BE15" i="19"/>
  <c r="AW15" i="19"/>
  <c r="Y15" i="19"/>
  <c r="Q15" i="19"/>
  <c r="I15" i="19"/>
  <c r="CY14" i="19"/>
  <c r="CX14" i="19"/>
  <c r="CW14" i="19"/>
  <c r="CV14" i="19"/>
  <c r="CU14" i="19"/>
  <c r="DA14" i="19" s="1"/>
  <c r="CS14" i="19"/>
  <c r="CK14" i="19"/>
  <c r="CC14" i="19"/>
  <c r="BU14" i="19"/>
  <c r="BM14" i="19"/>
  <c r="BE14" i="19"/>
  <c r="AW14" i="19"/>
  <c r="Y14" i="19"/>
  <c r="Q14" i="19"/>
  <c r="I14" i="19"/>
  <c r="CY13" i="19"/>
  <c r="CX13" i="19"/>
  <c r="CW13" i="19"/>
  <c r="CV13" i="19"/>
  <c r="CU13" i="19"/>
  <c r="DA13" i="19" s="1"/>
  <c r="CS13" i="19"/>
  <c r="CK13" i="19"/>
  <c r="CC13" i="19"/>
  <c r="BU13" i="19"/>
  <c r="BM13" i="19"/>
  <c r="BE13" i="19"/>
  <c r="AW13" i="19"/>
  <c r="Y13" i="19"/>
  <c r="Q13" i="19"/>
  <c r="I13" i="19"/>
  <c r="CY12" i="19"/>
  <c r="CX12" i="19"/>
  <c r="CW12" i="19"/>
  <c r="CV12" i="19"/>
  <c r="CU12" i="19"/>
  <c r="DA12" i="19" s="1"/>
  <c r="CS12" i="19"/>
  <c r="CK12" i="19"/>
  <c r="CC12" i="19"/>
  <c r="BU12" i="19"/>
  <c r="BM12" i="19"/>
  <c r="BE12" i="19"/>
  <c r="AW12" i="19"/>
  <c r="AO12" i="19"/>
  <c r="AG12" i="19"/>
  <c r="Y12" i="19"/>
  <c r="Q12" i="19"/>
  <c r="I12" i="19"/>
  <c r="CY11" i="19"/>
  <c r="CX11" i="19"/>
  <c r="CW11" i="19"/>
  <c r="CV11" i="19"/>
  <c r="CU11" i="19"/>
  <c r="DA11" i="19" s="1"/>
  <c r="CS11" i="19"/>
  <c r="CK11" i="19"/>
  <c r="CC11" i="19"/>
  <c r="BU11" i="19"/>
  <c r="BM11" i="19"/>
  <c r="BE11" i="19"/>
  <c r="AW11" i="19"/>
  <c r="AO11" i="19"/>
  <c r="AG11" i="19"/>
  <c r="Y11" i="19"/>
  <c r="Q11" i="19"/>
  <c r="I11" i="19"/>
  <c r="CY10" i="19"/>
  <c r="DA10" i="19" s="1"/>
  <c r="CX10" i="19"/>
  <c r="CX27" i="19" s="1"/>
  <c r="CW10" i="19"/>
  <c r="CW27" i="19" s="1"/>
  <c r="CV10" i="19"/>
  <c r="CV27" i="19" s="1"/>
  <c r="CU10" i="19"/>
  <c r="CU27" i="19" s="1"/>
  <c r="CS10" i="19"/>
  <c r="CS27" i="19" s="1"/>
  <c r="CK10" i="19"/>
  <c r="CK27" i="19" s="1"/>
  <c r="CC10" i="19"/>
  <c r="CC27" i="19" s="1"/>
  <c r="BU10" i="19"/>
  <c r="BU27" i="19" s="1"/>
  <c r="BM10" i="19"/>
  <c r="BM27" i="19" s="1"/>
  <c r="BE10" i="19"/>
  <c r="BE27" i="19" s="1"/>
  <c r="AW10" i="19"/>
  <c r="AW27" i="19" s="1"/>
  <c r="AO10" i="19"/>
  <c r="AO27" i="19" s="1"/>
  <c r="AG10" i="19"/>
  <c r="AG27" i="19" s="1"/>
  <c r="Y10" i="19"/>
  <c r="Y27" i="19" s="1"/>
  <c r="Q10" i="19"/>
  <c r="Q27" i="19" s="1"/>
  <c r="I10" i="19"/>
  <c r="I27" i="19" s="1"/>
  <c r="N24" i="20"/>
  <c r="M24" i="20"/>
  <c r="L24" i="20"/>
  <c r="K24" i="20"/>
  <c r="J24" i="20"/>
  <c r="I24" i="20"/>
  <c r="H24" i="20"/>
  <c r="G24" i="20"/>
  <c r="F24" i="20"/>
  <c r="E24" i="20"/>
  <c r="D24" i="20"/>
  <c r="C24" i="20"/>
  <c r="O23" i="20"/>
  <c r="O22" i="20"/>
  <c r="O21" i="20"/>
  <c r="O20" i="20"/>
  <c r="O19" i="20"/>
  <c r="O18" i="20"/>
  <c r="O17" i="20"/>
  <c r="O16" i="20"/>
  <c r="O15" i="20"/>
  <c r="O14" i="20"/>
  <c r="O13" i="20"/>
  <c r="O12" i="20"/>
  <c r="O11" i="20"/>
  <c r="O10" i="20"/>
  <c r="O9" i="20"/>
  <c r="O8" i="20"/>
  <c r="O7" i="20"/>
  <c r="O24" i="20" s="1"/>
  <c r="O27" i="20" s="1"/>
  <c r="O30" i="18" l="1"/>
  <c r="O77" i="18"/>
  <c r="O144" i="18"/>
  <c r="I8" i="18"/>
  <c r="I208" i="18" s="1"/>
  <c r="O126" i="18"/>
  <c r="O122" i="18" s="1"/>
  <c r="O199" i="18"/>
  <c r="O198" i="18" s="1"/>
  <c r="DA27" i="19"/>
  <c r="CY27" i="19"/>
  <c r="O208" i="18" l="1"/>
  <c r="O163" i="14"/>
  <c r="O162" i="14" s="1"/>
  <c r="M162" i="14"/>
  <c r="L162" i="14"/>
  <c r="K162" i="14"/>
  <c r="J162" i="14"/>
  <c r="I162" i="14"/>
  <c r="O161" i="14"/>
  <c r="O160" i="14"/>
  <c r="O159" i="14"/>
  <c r="O158" i="14"/>
  <c r="M158" i="14"/>
  <c r="L158" i="14"/>
  <c r="K158" i="14"/>
  <c r="J158" i="14"/>
  <c r="I158" i="14"/>
  <c r="O157" i="14"/>
  <c r="O156" i="14"/>
  <c r="O155" i="14"/>
  <c r="O154" i="14" s="1"/>
  <c r="M154" i="14"/>
  <c r="L154" i="14"/>
  <c r="K154" i="14"/>
  <c r="J154" i="14"/>
  <c r="I154" i="14"/>
  <c r="O153" i="14"/>
  <c r="O152" i="14"/>
  <c r="O151" i="14"/>
  <c r="O150" i="14"/>
  <c r="O149" i="14"/>
  <c r="O148" i="14"/>
  <c r="O146" i="14" s="1"/>
  <c r="O147" i="14"/>
  <c r="M146" i="14"/>
  <c r="L146" i="14"/>
  <c r="K146" i="14"/>
  <c r="J146" i="14"/>
  <c r="I146" i="14"/>
  <c r="O145" i="14"/>
  <c r="O144" i="14" s="1"/>
  <c r="M144" i="14"/>
  <c r="L144" i="14"/>
  <c r="K144" i="14"/>
  <c r="J144" i="14"/>
  <c r="I144" i="14"/>
  <c r="O143" i="14"/>
  <c r="O142" i="14"/>
  <c r="O141" i="14"/>
  <c r="O140" i="14"/>
  <c r="O139" i="14"/>
  <c r="O138" i="14"/>
  <c r="O137" i="14" s="1"/>
  <c r="M137" i="14"/>
  <c r="L137" i="14"/>
  <c r="K137" i="14"/>
  <c r="J137" i="14"/>
  <c r="I137" i="14"/>
  <c r="O136" i="14"/>
  <c r="O135" i="14"/>
  <c r="M135" i="14"/>
  <c r="L135" i="14"/>
  <c r="K135" i="14"/>
  <c r="J135" i="14"/>
  <c r="I135" i="14"/>
  <c r="O134" i="14"/>
  <c r="O133" i="14"/>
  <c r="O132" i="14"/>
  <c r="O131" i="14"/>
  <c r="O130" i="14"/>
  <c r="O129" i="14"/>
  <c r="O128" i="14"/>
  <c r="O127" i="14"/>
  <c r="O126" i="14"/>
  <c r="O125" i="14"/>
  <c r="O124" i="14"/>
  <c r="O123" i="14"/>
  <c r="O122" i="14"/>
  <c r="O121" i="14"/>
  <c r="O120" i="14"/>
  <c r="O119" i="14"/>
  <c r="O118" i="14"/>
  <c r="O117" i="14"/>
  <c r="O116" i="14"/>
  <c r="O115" i="14"/>
  <c r="O114" i="14"/>
  <c r="M114" i="14"/>
  <c r="L114" i="14"/>
  <c r="K114" i="14"/>
  <c r="J114" i="14"/>
  <c r="I114" i="14"/>
  <c r="O113" i="14"/>
  <c r="O112" i="14"/>
  <c r="O111" i="14"/>
  <c r="O110" i="14"/>
  <c r="O109" i="14"/>
  <c r="O108" i="14"/>
  <c r="O107" i="14"/>
  <c r="O106" i="14"/>
  <c r="O105" i="14"/>
  <c r="O104" i="14"/>
  <c r="O103" i="14"/>
  <c r="O102" i="14" s="1"/>
  <c r="M102" i="14"/>
  <c r="L102" i="14"/>
  <c r="K102" i="14"/>
  <c r="J102" i="14"/>
  <c r="I102" i="14"/>
  <c r="O101" i="14"/>
  <c r="O100" i="14"/>
  <c r="O99" i="14"/>
  <c r="O98" i="14"/>
  <c r="O97" i="14" s="1"/>
  <c r="M97" i="14"/>
  <c r="L97" i="14"/>
  <c r="K97" i="14"/>
  <c r="J97" i="14"/>
  <c r="I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59" i="14" s="1"/>
  <c r="O62" i="14"/>
  <c r="O61" i="14"/>
  <c r="O60" i="14"/>
  <c r="M59" i="14"/>
  <c r="L59" i="14"/>
  <c r="K59" i="14"/>
  <c r="J59" i="14"/>
  <c r="I59" i="14"/>
  <c r="O58" i="14"/>
  <c r="O57" i="14"/>
  <c r="O56" i="14"/>
  <c r="O55" i="14" s="1"/>
  <c r="M55" i="14"/>
  <c r="L55" i="14"/>
  <c r="K55" i="14"/>
  <c r="J55" i="14"/>
  <c r="I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s="1"/>
  <c r="M30" i="14"/>
  <c r="L30" i="14"/>
  <c r="K30" i="14"/>
  <c r="J30" i="14"/>
  <c r="I30" i="14"/>
  <c r="O29" i="14"/>
  <c r="O28" i="14"/>
  <c r="O27" i="14"/>
  <c r="O26" i="14"/>
  <c r="M26" i="14"/>
  <c r="L26" i="14"/>
  <c r="L164" i="14" s="1"/>
  <c r="K26" i="14"/>
  <c r="J26" i="14"/>
  <c r="I26" i="14"/>
  <c r="O25" i="14"/>
  <c r="O24" i="14"/>
  <c r="O23" i="14"/>
  <c r="O22" i="14"/>
  <c r="O21" i="14"/>
  <c r="O20" i="14"/>
  <c r="O19" i="14"/>
  <c r="O18" i="14"/>
  <c r="O17" i="14"/>
  <c r="O16" i="14" s="1"/>
  <c r="M16" i="14"/>
  <c r="L16" i="14"/>
  <c r="K16" i="14"/>
  <c r="J16" i="14"/>
  <c r="I16" i="14"/>
  <c r="O15" i="14"/>
  <c r="O14" i="14"/>
  <c r="O13" i="14"/>
  <c r="O12" i="14"/>
  <c r="O11" i="14"/>
  <c r="O10" i="14"/>
  <c r="O9" i="14"/>
  <c r="O8" i="14"/>
  <c r="M8" i="14"/>
  <c r="M164" i="14" s="1"/>
  <c r="L8" i="14"/>
  <c r="K8" i="14"/>
  <c r="K164" i="14" s="1"/>
  <c r="J8" i="14"/>
  <c r="J164" i="14" s="1"/>
  <c r="I8" i="14"/>
  <c r="I164" i="14" s="1"/>
  <c r="I24" i="15"/>
  <c r="G24" i="15"/>
  <c r="F24" i="15"/>
  <c r="E24" i="15"/>
  <c r="D24" i="15"/>
  <c r="C24" i="15"/>
  <c r="N23" i="16"/>
  <c r="M23" i="16"/>
  <c r="L23" i="16"/>
  <c r="K23" i="16"/>
  <c r="J23" i="16"/>
  <c r="I23" i="16"/>
  <c r="H23" i="16"/>
  <c r="G23" i="16"/>
  <c r="E23" i="16"/>
  <c r="D23" i="16"/>
  <c r="C23" i="16"/>
  <c r="O22" i="16"/>
  <c r="O21" i="16"/>
  <c r="O20" i="16"/>
  <c r="O19" i="16"/>
  <c r="O18" i="16"/>
  <c r="O17" i="16"/>
  <c r="O16" i="16"/>
  <c r="O15" i="16"/>
  <c r="O14" i="16"/>
  <c r="O13" i="16"/>
  <c r="O12" i="16"/>
  <c r="O11" i="16"/>
  <c r="H10" i="16"/>
  <c r="F10" i="16"/>
  <c r="F23" i="16" s="1"/>
  <c r="O9" i="16"/>
  <c r="O8" i="16"/>
  <c r="O7" i="16"/>
  <c r="O164" i="14" l="1"/>
  <c r="O10" i="16"/>
  <c r="O23" i="16" s="1"/>
  <c r="D19" i="17"/>
  <c r="E19" i="17"/>
  <c r="F19" i="17"/>
  <c r="G19" i="17"/>
  <c r="H19" i="17"/>
  <c r="I19" i="17"/>
  <c r="C19" i="17"/>
  <c r="J115" i="5"/>
  <c r="K115" i="5"/>
  <c r="L115" i="5"/>
  <c r="M115" i="5"/>
  <c r="N115" i="5"/>
  <c r="O115" i="5"/>
  <c r="I115" i="5"/>
  <c r="J112" i="5"/>
  <c r="K112" i="5"/>
  <c r="L112" i="5"/>
  <c r="M112" i="5"/>
  <c r="N112" i="5"/>
  <c r="O112" i="5"/>
  <c r="I112" i="5"/>
  <c r="J108" i="5"/>
  <c r="K108" i="5"/>
  <c r="L108" i="5"/>
  <c r="M108" i="5"/>
  <c r="N108" i="5"/>
  <c r="O108" i="5"/>
  <c r="I108" i="5"/>
  <c r="J100" i="5"/>
  <c r="K100" i="5"/>
  <c r="L100" i="5"/>
  <c r="M100" i="5"/>
  <c r="N100" i="5"/>
  <c r="O100" i="5"/>
  <c r="I100" i="5"/>
  <c r="J72" i="5"/>
  <c r="K72" i="5"/>
  <c r="L72" i="5"/>
  <c r="M72" i="5"/>
  <c r="N72" i="5"/>
  <c r="O72" i="5"/>
  <c r="I72" i="5"/>
  <c r="I57" i="5"/>
  <c r="J57" i="5"/>
  <c r="K57" i="5"/>
  <c r="L57" i="5"/>
  <c r="M57" i="5"/>
  <c r="N57" i="5"/>
  <c r="O57" i="5"/>
  <c r="J55" i="5"/>
  <c r="K55" i="5"/>
  <c r="L55" i="5"/>
  <c r="M55" i="5"/>
  <c r="N55" i="5"/>
  <c r="O55" i="5"/>
  <c r="I55" i="5"/>
  <c r="J36" i="5"/>
  <c r="K36" i="5"/>
  <c r="L36" i="5"/>
  <c r="M36" i="5"/>
  <c r="N36" i="5"/>
  <c r="O36" i="5"/>
  <c r="I36" i="5"/>
  <c r="J27" i="5"/>
  <c r="K27" i="5"/>
  <c r="L27" i="5"/>
  <c r="M27" i="5"/>
  <c r="N27" i="5"/>
  <c r="O27" i="5"/>
  <c r="I27" i="5"/>
  <c r="J18" i="5"/>
  <c r="K18" i="5"/>
  <c r="L18" i="5"/>
  <c r="M18" i="5"/>
  <c r="N18" i="5"/>
  <c r="O18" i="5"/>
  <c r="I18" i="5"/>
  <c r="J15" i="5"/>
  <c r="K15" i="5"/>
  <c r="L15" i="5"/>
  <c r="M15" i="5"/>
  <c r="N15" i="5"/>
  <c r="O15" i="5"/>
  <c r="I15" i="5"/>
  <c r="J8" i="5"/>
  <c r="K8" i="5"/>
  <c r="L8" i="5"/>
  <c r="M8" i="5"/>
  <c r="N8" i="5"/>
  <c r="O8" i="5"/>
  <c r="I8" i="5"/>
  <c r="O148" i="12" l="1"/>
  <c r="O146" i="12" s="1"/>
  <c r="O147" i="12"/>
  <c r="N146" i="12"/>
  <c r="M146" i="12"/>
  <c r="L146" i="12"/>
  <c r="K146" i="12"/>
  <c r="J146" i="12"/>
  <c r="I146" i="12"/>
  <c r="O145" i="12"/>
  <c r="O144" i="12"/>
  <c r="N144" i="12"/>
  <c r="M144" i="12"/>
  <c r="L144" i="12"/>
  <c r="K144" i="12"/>
  <c r="J144" i="12"/>
  <c r="I144" i="12"/>
  <c r="O143" i="12"/>
  <c r="O142" i="12"/>
  <c r="O141" i="12"/>
  <c r="O140" i="12"/>
  <c r="O138" i="12" s="1"/>
  <c r="O139" i="12"/>
  <c r="N138" i="12"/>
  <c r="M138" i="12"/>
  <c r="L138" i="12"/>
  <c r="K138" i="12"/>
  <c r="J138" i="12"/>
  <c r="I138" i="12"/>
  <c r="O137" i="12"/>
  <c r="O136" i="12"/>
  <c r="O135" i="12" s="1"/>
  <c r="N135" i="12"/>
  <c r="M135" i="12"/>
  <c r="L135" i="12"/>
  <c r="K135" i="12"/>
  <c r="J135" i="12"/>
  <c r="I135" i="12"/>
  <c r="O134" i="12"/>
  <c r="O133" i="12"/>
  <c r="O132" i="12"/>
  <c r="O131" i="12" s="1"/>
  <c r="N131" i="12"/>
  <c r="M131" i="12"/>
  <c r="L131" i="12"/>
  <c r="K131" i="12"/>
  <c r="J131" i="12"/>
  <c r="I131" i="12"/>
  <c r="O130" i="12"/>
  <c r="O129" i="12"/>
  <c r="O128" i="12"/>
  <c r="O127" i="12"/>
  <c r="O126" i="12"/>
  <c r="O124" i="12" s="1"/>
  <c r="O125" i="12"/>
  <c r="N124" i="12"/>
  <c r="M124" i="12"/>
  <c r="L124" i="12"/>
  <c r="K124" i="12"/>
  <c r="J124" i="12"/>
  <c r="I124" i="12"/>
  <c r="O123" i="12"/>
  <c r="O122" i="12"/>
  <c r="O121" i="12"/>
  <c r="O120" i="12"/>
  <c r="I119" i="12"/>
  <c r="O119" i="12" s="1"/>
  <c r="O118" i="12"/>
  <c r="O117" i="12"/>
  <c r="N116" i="12"/>
  <c r="M116" i="12"/>
  <c r="L116" i="12"/>
  <c r="K116" i="12"/>
  <c r="J116" i="12"/>
  <c r="I116" i="12"/>
  <c r="O115" i="12"/>
  <c r="O114" i="12"/>
  <c r="O113" i="12"/>
  <c r="O112" i="12"/>
  <c r="O111" i="12"/>
  <c r="O110" i="12"/>
  <c r="O109" i="12"/>
  <c r="O108" i="12"/>
  <c r="O107" i="12"/>
  <c r="O106" i="12"/>
  <c r="O105" i="12"/>
  <c r="O104" i="12"/>
  <c r="O103" i="12"/>
  <c r="I102" i="12"/>
  <c r="O102" i="12" s="1"/>
  <c r="O101" i="12"/>
  <c r="O100" i="12"/>
  <c r="I100" i="12"/>
  <c r="O99" i="12"/>
  <c r="I99" i="12"/>
  <c r="O98" i="12"/>
  <c r="I97" i="12"/>
  <c r="O97" i="12" s="1"/>
  <c r="O95" i="12" s="1"/>
  <c r="O96" i="12"/>
  <c r="N95" i="12"/>
  <c r="M95" i="12"/>
  <c r="L95" i="12"/>
  <c r="K95" i="12"/>
  <c r="J95" i="12"/>
  <c r="I95" i="12"/>
  <c r="O94" i="12"/>
  <c r="O93" i="12"/>
  <c r="O92" i="12"/>
  <c r="O91" i="12"/>
  <c r="O90" i="12"/>
  <c r="O89" i="12"/>
  <c r="O88" i="12"/>
  <c r="O87" i="12"/>
  <c r="O86" i="12"/>
  <c r="O85" i="12"/>
  <c r="N85" i="12"/>
  <c r="M85" i="12"/>
  <c r="L85" i="12"/>
  <c r="K85" i="12"/>
  <c r="J85" i="12"/>
  <c r="I85" i="12"/>
  <c r="O84" i="12"/>
  <c r="O83" i="12"/>
  <c r="O81" i="12" s="1"/>
  <c r="O82" i="12"/>
  <c r="N81" i="12"/>
  <c r="M81" i="12"/>
  <c r="L81" i="12"/>
  <c r="K81" i="12"/>
  <c r="J81" i="12"/>
  <c r="I81" i="12"/>
  <c r="O80" i="12"/>
  <c r="O79" i="12"/>
  <c r="O78" i="12"/>
  <c r="O77" i="12"/>
  <c r="I76" i="12"/>
  <c r="O76" i="12" s="1"/>
  <c r="I75" i="12"/>
  <c r="I74" i="12" s="1"/>
  <c r="N74" i="12"/>
  <c r="M74" i="12"/>
  <c r="L74" i="12"/>
  <c r="K74" i="12"/>
  <c r="J74" i="12"/>
  <c r="O73" i="12"/>
  <c r="O72" i="12"/>
  <c r="O71" i="12"/>
  <c r="O70" i="12"/>
  <c r="O69" i="12"/>
  <c r="O68" i="12"/>
  <c r="I67" i="12"/>
  <c r="O67" i="12" s="1"/>
  <c r="O66" i="12"/>
  <c r="I66" i="12"/>
  <c r="O65" i="12"/>
  <c r="O64" i="12"/>
  <c r="O63" i="12"/>
  <c r="O62" i="12"/>
  <c r="O61" i="12"/>
  <c r="O60" i="12"/>
  <c r="O59" i="12"/>
  <c r="O58" i="12"/>
  <c r="O57" i="12"/>
  <c r="O56" i="12"/>
  <c r="O55" i="12"/>
  <c r="O54" i="12"/>
  <c r="O53" i="12"/>
  <c r="O52" i="12"/>
  <c r="O51" i="12"/>
  <c r="O50" i="12"/>
  <c r="O49" i="12"/>
  <c r="O48" i="12"/>
  <c r="O47" i="12"/>
  <c r="I46" i="12"/>
  <c r="O46" i="12" s="1"/>
  <c r="O45" i="12" s="1"/>
  <c r="N45" i="12"/>
  <c r="M45" i="12"/>
  <c r="L45" i="12"/>
  <c r="K45" i="12"/>
  <c r="J45" i="12"/>
  <c r="O44" i="12"/>
  <c r="O43" i="12"/>
  <c r="O42" i="12"/>
  <c r="O40" i="12" s="1"/>
  <c r="I42" i="12"/>
  <c r="O41" i="12"/>
  <c r="I41" i="12"/>
  <c r="N40" i="12"/>
  <c r="M40" i="12"/>
  <c r="L40" i="12"/>
  <c r="K40" i="12"/>
  <c r="J40" i="12"/>
  <c r="I40" i="12"/>
  <c r="O39" i="12"/>
  <c r="O38" i="12"/>
  <c r="O37" i="12"/>
  <c r="O36" i="12"/>
  <c r="O35" i="12"/>
  <c r="O34" i="12"/>
  <c r="O33" i="12"/>
  <c r="O32" i="12"/>
  <c r="O31" i="12"/>
  <c r="O30" i="12"/>
  <c r="I29" i="12"/>
  <c r="O29" i="12" s="1"/>
  <c r="O28" i="12"/>
  <c r="O27" i="12"/>
  <c r="O26" i="12"/>
  <c r="O25" i="12"/>
  <c r="O24" i="12"/>
  <c r="O23" i="12"/>
  <c r="I23" i="12"/>
  <c r="O22" i="12"/>
  <c r="O21" i="12"/>
  <c r="O20" i="12"/>
  <c r="O18" i="12" s="1"/>
  <c r="O19" i="12"/>
  <c r="N18" i="12"/>
  <c r="M18" i="12"/>
  <c r="L18" i="12"/>
  <c r="K18" i="12"/>
  <c r="J18" i="12"/>
  <c r="I18" i="12"/>
  <c r="O17" i="12"/>
  <c r="O16" i="12"/>
  <c r="N16" i="12"/>
  <c r="M16" i="12"/>
  <c r="L16" i="12"/>
  <c r="K16" i="12"/>
  <c r="J16" i="12"/>
  <c r="I16" i="12"/>
  <c r="O15" i="12"/>
  <c r="O14" i="12"/>
  <c r="N14" i="12"/>
  <c r="M14" i="12"/>
  <c r="M149" i="12" s="1"/>
  <c r="M152" i="12" s="1"/>
  <c r="L14" i="12"/>
  <c r="K14" i="12"/>
  <c r="J14" i="12"/>
  <c r="I14" i="12"/>
  <c r="O13" i="12"/>
  <c r="O12" i="12"/>
  <c r="I12" i="12"/>
  <c r="O11" i="12"/>
  <c r="O10" i="12"/>
  <c r="O9" i="12"/>
  <c r="O8" i="12"/>
  <c r="N8" i="12"/>
  <c r="N149" i="12" s="1"/>
  <c r="N152" i="12" s="1"/>
  <c r="M8" i="12"/>
  <c r="L8" i="12"/>
  <c r="L149" i="12" s="1"/>
  <c r="L152" i="12" s="1"/>
  <c r="K8" i="12"/>
  <c r="K149" i="12" s="1"/>
  <c r="K152" i="12" s="1"/>
  <c r="J8" i="12"/>
  <c r="J149" i="12" s="1"/>
  <c r="J152" i="12" s="1"/>
  <c r="I8" i="12"/>
  <c r="I25" i="13"/>
  <c r="H25" i="13"/>
  <c r="G25" i="13"/>
  <c r="F25" i="13"/>
  <c r="E25" i="13"/>
  <c r="D25" i="13"/>
  <c r="C25" i="13"/>
  <c r="O116" i="12" l="1"/>
  <c r="O75" i="12"/>
  <c r="O74" i="12" s="1"/>
  <c r="O149" i="12" s="1"/>
  <c r="O152" i="12" s="1"/>
  <c r="I45" i="12"/>
  <c r="I149" i="12" s="1"/>
  <c r="I152" i="12" s="1"/>
  <c r="I139" i="4"/>
  <c r="O139" i="4" s="1"/>
  <c r="O138" i="4" s="1"/>
  <c r="N138" i="4"/>
  <c r="M138" i="4"/>
  <c r="L138" i="4"/>
  <c r="K138" i="4"/>
  <c r="J138" i="4"/>
  <c r="O137" i="4"/>
  <c r="O135" i="4" s="1"/>
  <c r="O136" i="4"/>
  <c r="N135" i="4"/>
  <c r="M135" i="4"/>
  <c r="L135" i="4"/>
  <c r="K135" i="4"/>
  <c r="J135" i="4"/>
  <c r="I135" i="4"/>
  <c r="O134" i="4"/>
  <c r="O133" i="4"/>
  <c r="O132" i="4"/>
  <c r="O131" i="4"/>
  <c r="O130" i="4"/>
  <c r="O129" i="4"/>
  <c r="O128" i="4"/>
  <c r="O127" i="4"/>
  <c r="N127" i="4"/>
  <c r="M127" i="4"/>
  <c r="L127" i="4"/>
  <c r="K127" i="4"/>
  <c r="J127" i="4"/>
  <c r="I127" i="4"/>
  <c r="O126" i="4"/>
  <c r="O125" i="4"/>
  <c r="O124" i="4"/>
  <c r="O123" i="4"/>
  <c r="O122" i="4"/>
  <c r="O120" i="4" s="1"/>
  <c r="O121" i="4"/>
  <c r="N120" i="4"/>
  <c r="M120" i="4"/>
  <c r="L120" i="4"/>
  <c r="K120" i="4"/>
  <c r="J120" i="4"/>
  <c r="I120" i="4"/>
  <c r="O119" i="4"/>
  <c r="O118" i="4"/>
  <c r="I117" i="4"/>
  <c r="O117" i="4" s="1"/>
  <c r="O116" i="4"/>
  <c r="O115" i="4"/>
  <c r="O114" i="4"/>
  <c r="O113" i="4"/>
  <c r="O112" i="4"/>
  <c r="K111" i="4"/>
  <c r="J111" i="4"/>
  <c r="I111" i="4"/>
  <c r="O111" i="4" s="1"/>
  <c r="O110" i="4"/>
  <c r="O109" i="4"/>
  <c r="O108" i="4"/>
  <c r="K108" i="4"/>
  <c r="J108" i="4"/>
  <c r="I108" i="4"/>
  <c r="I107" i="4"/>
  <c r="I103" i="4" s="1"/>
  <c r="K106" i="4"/>
  <c r="J106" i="4"/>
  <c r="O106" i="4" s="1"/>
  <c r="I106" i="4"/>
  <c r="O105" i="4"/>
  <c r="O104" i="4"/>
  <c r="N103" i="4"/>
  <c r="M103" i="4"/>
  <c r="L103" i="4"/>
  <c r="K103" i="4"/>
  <c r="O102" i="4"/>
  <c r="O101" i="4"/>
  <c r="O100" i="4"/>
  <c r="O99" i="4"/>
  <c r="I98" i="4"/>
  <c r="O98" i="4" s="1"/>
  <c r="I97" i="4"/>
  <c r="O97" i="4" s="1"/>
  <c r="O96" i="4"/>
  <c r="O95" i="4"/>
  <c r="O94" i="4"/>
  <c r="O93" i="4"/>
  <c r="O92" i="4"/>
  <c r="O91" i="4"/>
  <c r="O90" i="4"/>
  <c r="O89" i="4"/>
  <c r="O88" i="4"/>
  <c r="O87" i="4"/>
  <c r="O86" i="4"/>
  <c r="O85" i="4"/>
  <c r="N84" i="4"/>
  <c r="M84" i="4"/>
  <c r="L84" i="4"/>
  <c r="K84" i="4"/>
  <c r="J84" i="4"/>
  <c r="I84" i="4"/>
  <c r="O83" i="4"/>
  <c r="O82" i="4"/>
  <c r="O81" i="4"/>
  <c r="O80" i="4" s="1"/>
  <c r="N80" i="4"/>
  <c r="M80" i="4"/>
  <c r="L80" i="4"/>
  <c r="K80" i="4"/>
  <c r="J80" i="4"/>
  <c r="I80" i="4"/>
  <c r="O79" i="4"/>
  <c r="O78" i="4"/>
  <c r="O77" i="4"/>
  <c r="O76" i="4" s="1"/>
  <c r="N76" i="4"/>
  <c r="M76" i="4"/>
  <c r="L76" i="4"/>
  <c r="K76" i="4"/>
  <c r="J76" i="4"/>
  <c r="I76" i="4"/>
  <c r="O75" i="4"/>
  <c r="O74" i="4"/>
  <c r="O73" i="4"/>
  <c r="O72" i="4"/>
  <c r="O71" i="4"/>
  <c r="O70" i="4"/>
  <c r="O69" i="4"/>
  <c r="O68" i="4"/>
  <c r="O67" i="4"/>
  <c r="O66" i="4"/>
  <c r="O65" i="4"/>
  <c r="O64" i="4"/>
  <c r="O63" i="4"/>
  <c r="O62" i="4"/>
  <c r="O61" i="4"/>
  <c r="O60" i="4"/>
  <c r="O59" i="4"/>
  <c r="O58" i="4"/>
  <c r="O57" i="4"/>
  <c r="O56" i="4"/>
  <c r="O55" i="4" s="1"/>
  <c r="N55" i="4"/>
  <c r="M55" i="4"/>
  <c r="L55" i="4"/>
  <c r="K55" i="4"/>
  <c r="J55" i="4"/>
  <c r="I55" i="4"/>
  <c r="O54" i="4"/>
  <c r="O52" i="4" s="1"/>
  <c r="O53" i="4"/>
  <c r="N52" i="4"/>
  <c r="M52" i="4"/>
  <c r="L52" i="4"/>
  <c r="K52" i="4"/>
  <c r="J52" i="4"/>
  <c r="I52" i="4"/>
  <c r="O51" i="4"/>
  <c r="O50" i="4"/>
  <c r="O49" i="4"/>
  <c r="O48" i="4"/>
  <c r="O47" i="4"/>
  <c r="I47" i="4"/>
  <c r="O46" i="4"/>
  <c r="O45" i="4"/>
  <c r="O44" i="4"/>
  <c r="O43" i="4"/>
  <c r="O42" i="4"/>
  <c r="O41" i="4"/>
  <c r="O40" i="4"/>
  <c r="O39" i="4"/>
  <c r="O38" i="4"/>
  <c r="O37" i="4"/>
  <c r="O36" i="4"/>
  <c r="O35" i="4"/>
  <c r="O34" i="4"/>
  <c r="O33" i="4"/>
  <c r="O32" i="4"/>
  <c r="O31" i="4"/>
  <c r="O30" i="4"/>
  <c r="O29" i="4"/>
  <c r="I29" i="4"/>
  <c r="I28" i="4"/>
  <c r="O28" i="4" s="1"/>
  <c r="O27" i="4" s="1"/>
  <c r="N27" i="4"/>
  <c r="M27" i="4"/>
  <c r="L27" i="4"/>
  <c r="K27" i="4"/>
  <c r="J27" i="4"/>
  <c r="O26" i="4"/>
  <c r="O25" i="4"/>
  <c r="O24" i="4"/>
  <c r="O23" i="4"/>
  <c r="O22" i="4"/>
  <c r="O21" i="4"/>
  <c r="O20" i="4"/>
  <c r="O19" i="4"/>
  <c r="O18" i="4"/>
  <c r="O16" i="4" s="1"/>
  <c r="O17" i="4"/>
  <c r="N16" i="4"/>
  <c r="M16" i="4"/>
  <c r="L16" i="4"/>
  <c r="K16" i="4"/>
  <c r="J16" i="4"/>
  <c r="I16" i="4"/>
  <c r="O15" i="4"/>
  <c r="O14" i="4"/>
  <c r="I13" i="4"/>
  <c r="I8" i="4" s="1"/>
  <c r="O12" i="4"/>
  <c r="O11" i="4"/>
  <c r="O10" i="4"/>
  <c r="O9" i="4"/>
  <c r="I9" i="4"/>
  <c r="N8" i="4"/>
  <c r="N140" i="4" s="1"/>
  <c r="M8" i="4"/>
  <c r="M140" i="4" s="1"/>
  <c r="L8" i="4"/>
  <c r="L140" i="4" s="1"/>
  <c r="K8" i="4"/>
  <c r="K140" i="4" s="1"/>
  <c r="J8" i="4"/>
  <c r="I21" i="11"/>
  <c r="H21" i="11"/>
  <c r="G21" i="11"/>
  <c r="F21" i="11"/>
  <c r="E21" i="11"/>
  <c r="D21" i="11"/>
  <c r="C21" i="11"/>
  <c r="O8" i="4" l="1"/>
  <c r="O84" i="4"/>
  <c r="O107" i="4"/>
  <c r="O103" i="4" s="1"/>
  <c r="O13" i="4"/>
  <c r="I138" i="4"/>
  <c r="J103" i="4"/>
  <c r="J140" i="4" s="1"/>
  <c r="I27" i="4"/>
  <c r="I140" i="4" s="1"/>
  <c r="O94" i="6"/>
  <c r="N94" i="6"/>
  <c r="M94" i="6"/>
  <c r="L94" i="6"/>
  <c r="K94" i="6"/>
  <c r="J94" i="6"/>
  <c r="I94" i="6"/>
  <c r="O93" i="6"/>
  <c r="O92" i="6"/>
  <c r="O91" i="6"/>
  <c r="O90" i="6"/>
  <c r="O89" i="6"/>
  <c r="O88" i="6"/>
  <c r="O87" i="6"/>
  <c r="O86" i="6"/>
  <c r="O85" i="6"/>
  <c r="O84" i="6"/>
  <c r="O83" i="6"/>
  <c r="O82" i="6"/>
  <c r="O81" i="6"/>
  <c r="O80" i="6"/>
  <c r="O79" i="6"/>
  <c r="O78" i="6"/>
  <c r="O77" i="6"/>
  <c r="O76" i="6"/>
  <c r="O75" i="6"/>
  <c r="O74" i="6"/>
  <c r="O73" i="6"/>
  <c r="O72" i="6"/>
  <c r="O71" i="6"/>
  <c r="O70" i="6"/>
  <c r="O69" i="6"/>
  <c r="O68" i="6"/>
  <c r="K67" i="6"/>
  <c r="J67" i="6"/>
  <c r="O67" i="6" s="1"/>
  <c r="K66" i="6"/>
  <c r="J66" i="6"/>
  <c r="J60" i="6" s="1"/>
  <c r="O65" i="6"/>
  <c r="O64" i="6"/>
  <c r="O63" i="6"/>
  <c r="K62" i="6"/>
  <c r="K60" i="6" s="1"/>
  <c r="J62" i="6"/>
  <c r="O61" i="6"/>
  <c r="N60" i="6"/>
  <c r="M60" i="6"/>
  <c r="L60" i="6"/>
  <c r="I60" i="6"/>
  <c r="O59" i="6"/>
  <c r="O58" i="6"/>
  <c r="O57" i="6"/>
  <c r="O56" i="6"/>
  <c r="O55" i="6"/>
  <c r="O54" i="6"/>
  <c r="O53" i="6"/>
  <c r="O52" i="6"/>
  <c r="O51" i="6"/>
  <c r="O50" i="6"/>
  <c r="O49" i="6"/>
  <c r="J48" i="6"/>
  <c r="O48" i="6" s="1"/>
  <c r="O47" i="6"/>
  <c r="O46" i="6"/>
  <c r="O45" i="6"/>
  <c r="O44" i="6"/>
  <c r="O43" i="6"/>
  <c r="M43" i="6"/>
  <c r="L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N10" i="6"/>
  <c r="N96" i="6" s="1"/>
  <c r="M10" i="6"/>
  <c r="M96" i="6" s="1"/>
  <c r="L10" i="6"/>
  <c r="L96" i="6" s="1"/>
  <c r="K10" i="6"/>
  <c r="J10" i="6"/>
  <c r="I10" i="6"/>
  <c r="I96" i="6" s="1"/>
  <c r="O9" i="6"/>
  <c r="O8" i="6"/>
  <c r="N8" i="6"/>
  <c r="M8" i="6"/>
  <c r="L8" i="6"/>
  <c r="K8" i="6"/>
  <c r="J8" i="6"/>
  <c r="I8" i="6"/>
  <c r="O107" i="5"/>
  <c r="O35" i="5"/>
  <c r="O14" i="5"/>
  <c r="O34" i="5"/>
  <c r="O114" i="5"/>
  <c r="O54" i="5"/>
  <c r="O53" i="5"/>
  <c r="O52" i="5"/>
  <c r="O33" i="5"/>
  <c r="O51" i="5"/>
  <c r="O32" i="5"/>
  <c r="I50" i="5"/>
  <c r="O50" i="5" s="1"/>
  <c r="O106" i="5"/>
  <c r="O13" i="5"/>
  <c r="O12" i="5"/>
  <c r="O49" i="5"/>
  <c r="M48" i="5"/>
  <c r="L48" i="5"/>
  <c r="O56" i="5"/>
  <c r="O47" i="5"/>
  <c r="O71" i="5"/>
  <c r="O31" i="5"/>
  <c r="O30" i="5"/>
  <c r="O11" i="5"/>
  <c r="O105" i="5"/>
  <c r="O104" i="5"/>
  <c r="O103" i="5"/>
  <c r="O102" i="5"/>
  <c r="O29" i="5"/>
  <c r="O46" i="5"/>
  <c r="O10" i="5"/>
  <c r="O45" i="5"/>
  <c r="O44" i="5"/>
  <c r="O9" i="5"/>
  <c r="O101" i="5"/>
  <c r="O43" i="5"/>
  <c r="O42" i="5"/>
  <c r="O41" i="5"/>
  <c r="O40" i="5"/>
  <c r="O39" i="5"/>
  <c r="O28" i="5"/>
  <c r="O113" i="5"/>
  <c r="O38" i="5"/>
  <c r="O99" i="5"/>
  <c r="O98" i="5"/>
  <c r="O17" i="5"/>
  <c r="O16" i="5"/>
  <c r="O97" i="5"/>
  <c r="O96" i="5"/>
  <c r="O70" i="5"/>
  <c r="O26" i="5"/>
  <c r="O69" i="5"/>
  <c r="O95" i="5"/>
  <c r="O94" i="5"/>
  <c r="O93" i="5"/>
  <c r="O25" i="5"/>
  <c r="O68" i="5"/>
  <c r="O74" i="5"/>
  <c r="O37" i="5"/>
  <c r="O73" i="5"/>
  <c r="O67" i="5"/>
  <c r="O92" i="5"/>
  <c r="O24" i="5"/>
  <c r="O23" i="5"/>
  <c r="O66" i="5"/>
  <c r="I22" i="5"/>
  <c r="O22" i="5" s="1"/>
  <c r="O91" i="5"/>
  <c r="O65" i="5"/>
  <c r="O90" i="5"/>
  <c r="O21" i="5"/>
  <c r="O64" i="5"/>
  <c r="O63" i="5"/>
  <c r="O62" i="5"/>
  <c r="O61" i="5"/>
  <c r="O89" i="5"/>
  <c r="O88" i="5"/>
  <c r="O60" i="5"/>
  <c r="O59" i="5"/>
  <c r="O87" i="5"/>
  <c r="O86" i="5"/>
  <c r="O85" i="5"/>
  <c r="O84" i="5"/>
  <c r="O83" i="5"/>
  <c r="O82" i="5"/>
  <c r="O20" i="5"/>
  <c r="O58" i="5"/>
  <c r="O19" i="5"/>
  <c r="I81" i="5"/>
  <c r="O81" i="5" s="1"/>
  <c r="K80" i="5"/>
  <c r="J80" i="5"/>
  <c r="I80" i="5"/>
  <c r="K79" i="5"/>
  <c r="J79" i="5"/>
  <c r="I79" i="5"/>
  <c r="O78" i="5"/>
  <c r="K77" i="5"/>
  <c r="J77" i="5"/>
  <c r="I77" i="5"/>
  <c r="K76" i="5"/>
  <c r="J76" i="5"/>
  <c r="I76" i="5"/>
  <c r="K75" i="5"/>
  <c r="J75" i="5"/>
  <c r="I75" i="5"/>
  <c r="O111" i="5"/>
  <c r="O110" i="5"/>
  <c r="O109" i="5"/>
  <c r="O79" i="5" l="1"/>
  <c r="O76" i="5"/>
  <c r="O75" i="5"/>
  <c r="O80" i="5"/>
  <c r="O77" i="5"/>
  <c r="O140" i="4"/>
  <c r="J96" i="6"/>
  <c r="O10" i="6"/>
  <c r="K96" i="6"/>
  <c r="O62" i="6"/>
  <c r="O60" i="6" s="1"/>
  <c r="O66" i="6"/>
  <c r="O48" i="5"/>
  <c r="G110" i="6" l="1"/>
  <c r="G114" i="6" s="1"/>
  <c r="F109" i="6"/>
  <c r="F113" i="6" s="1"/>
  <c r="G106" i="6"/>
  <c r="F105" i="6"/>
  <c r="N98" i="6"/>
  <c r="N100" i="6" s="1"/>
  <c r="O96" i="6"/>
  <c r="I18" i="10" l="1"/>
  <c r="H18" i="10"/>
  <c r="G18" i="10"/>
  <c r="I17" i="10"/>
  <c r="H17" i="10"/>
  <c r="G17" i="10"/>
  <c r="I16" i="10"/>
  <c r="H16" i="10"/>
  <c r="G16" i="10"/>
  <c r="I15" i="10"/>
  <c r="H15" i="10"/>
  <c r="G15" i="10"/>
  <c r="I14" i="10"/>
  <c r="H14" i="10"/>
  <c r="G14" i="10"/>
  <c r="I13" i="10"/>
  <c r="H13" i="10"/>
  <c r="G13" i="10"/>
  <c r="H12" i="10"/>
  <c r="G12" i="10"/>
  <c r="I11" i="10"/>
  <c r="H11" i="10"/>
  <c r="I10" i="10"/>
  <c r="H10" i="10"/>
  <c r="G10" i="10"/>
  <c r="G9" i="10"/>
  <c r="G7" i="10"/>
  <c r="I6" i="10"/>
  <c r="H6" i="10"/>
  <c r="G6" i="10"/>
  <c r="F5" i="10"/>
  <c r="F19" i="10" s="1"/>
  <c r="F9" i="9"/>
  <c r="I8" i="9"/>
  <c r="H8" i="9"/>
  <c r="G8" i="9"/>
  <c r="I7" i="9"/>
  <c r="H7" i="9"/>
  <c r="G7" i="9"/>
  <c r="I6" i="9"/>
  <c r="H6" i="9"/>
  <c r="G6" i="9"/>
  <c r="I5" i="9"/>
  <c r="H5" i="9"/>
  <c r="G5" i="9"/>
  <c r="I45" i="1"/>
  <c r="H45" i="1"/>
  <c r="G45" i="1"/>
  <c r="I44" i="1"/>
  <c r="H44" i="1"/>
  <c r="G44" i="1"/>
  <c r="I43" i="1"/>
  <c r="H43" i="1"/>
  <c r="G43" i="1"/>
  <c r="I42" i="1"/>
  <c r="H42" i="1"/>
  <c r="G42" i="1"/>
  <c r="I41" i="1"/>
  <c r="H41" i="1"/>
  <c r="G41" i="1"/>
  <c r="I40" i="1"/>
  <c r="H40" i="1"/>
  <c r="G40" i="1"/>
  <c r="I39" i="1"/>
  <c r="H39" i="1"/>
  <c r="G39" i="1"/>
  <c r="I38" i="1"/>
  <c r="H38" i="1"/>
  <c r="G38" i="1"/>
  <c r="I37" i="1"/>
  <c r="H37" i="1"/>
  <c r="G37" i="1"/>
  <c r="G36" i="1"/>
  <c r="I35" i="1"/>
  <c r="H35" i="1"/>
  <c r="G35" i="1"/>
  <c r="H34" i="1"/>
  <c r="I33" i="1"/>
  <c r="H33" i="1"/>
  <c r="F33" i="1"/>
  <c r="G33" i="1" s="1"/>
  <c r="I32" i="1"/>
  <c r="H32" i="1"/>
  <c r="G32" i="1"/>
  <c r="I31" i="1"/>
  <c r="H31" i="1"/>
  <c r="G31" i="1"/>
  <c r="G30" i="1"/>
  <c r="G29" i="1"/>
  <c r="I27" i="1"/>
  <c r="H27" i="1"/>
  <c r="G27" i="1"/>
  <c r="I25" i="1"/>
  <c r="H25" i="1"/>
  <c r="G25" i="1"/>
  <c r="I24" i="1"/>
  <c r="H24" i="1"/>
  <c r="G24" i="1"/>
  <c r="I23" i="1"/>
  <c r="H23" i="1"/>
  <c r="G23" i="1"/>
  <c r="I22" i="1"/>
  <c r="H22" i="1"/>
  <c r="G22" i="1"/>
  <c r="I21" i="1"/>
  <c r="H21" i="1"/>
  <c r="G21" i="1"/>
  <c r="I20" i="1"/>
  <c r="H20" i="1"/>
  <c r="G20" i="1"/>
  <c r="I19" i="1"/>
  <c r="H19" i="1"/>
  <c r="G19" i="1"/>
  <c r="I18" i="1"/>
  <c r="H18" i="1"/>
  <c r="G18" i="1"/>
  <c r="F17" i="1"/>
  <c r="H17" i="1" s="1"/>
  <c r="H16" i="1"/>
  <c r="I15" i="1"/>
  <c r="H15" i="1"/>
  <c r="G15" i="1"/>
  <c r="F14" i="1"/>
  <c r="G13" i="1"/>
  <c r="F12" i="1"/>
  <c r="F11" i="1"/>
  <c r="H11" i="1" s="1"/>
  <c r="H10" i="1"/>
  <c r="F10" i="1"/>
  <c r="I10" i="1" s="1"/>
  <c r="I9" i="1"/>
  <c r="F9" i="1"/>
  <c r="H9" i="1" s="1"/>
  <c r="F8" i="1"/>
  <c r="I8" i="1" s="1"/>
  <c r="I7" i="1"/>
  <c r="F7" i="1"/>
  <c r="H7" i="1" s="1"/>
  <c r="F6" i="1"/>
  <c r="F5" i="1"/>
  <c r="H5" i="1" s="1"/>
  <c r="O73" i="7"/>
  <c r="N73" i="7"/>
  <c r="M73" i="7"/>
  <c r="L73" i="7"/>
  <c r="K73" i="7"/>
  <c r="J73" i="7"/>
  <c r="I73" i="7"/>
  <c r="O72" i="7"/>
  <c r="O71" i="7"/>
  <c r="O70" i="7"/>
  <c r="O69" i="7"/>
  <c r="O68" i="7"/>
  <c r="O67" i="7"/>
  <c r="O66" i="7"/>
  <c r="O65" i="7"/>
  <c r="O64" i="7"/>
  <c r="O63" i="7"/>
  <c r="O62" i="7"/>
  <c r="O61" i="7"/>
  <c r="O60" i="7"/>
  <c r="O59" i="7"/>
  <c r="O58" i="7"/>
  <c r="O57" i="7"/>
  <c r="O56" i="7"/>
  <c r="O55" i="7"/>
  <c r="O49" i="7" s="1"/>
  <c r="O54" i="7"/>
  <c r="O53" i="7"/>
  <c r="O52" i="7"/>
  <c r="O51" i="7"/>
  <c r="O50" i="7"/>
  <c r="N49" i="7"/>
  <c r="M49" i="7"/>
  <c r="L49" i="7"/>
  <c r="K49" i="7"/>
  <c r="J49" i="7"/>
  <c r="I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s="1"/>
  <c r="N12" i="7"/>
  <c r="N75" i="7" s="1"/>
  <c r="M12" i="7"/>
  <c r="M75" i="7" s="1"/>
  <c r="L12" i="7"/>
  <c r="L75" i="7" s="1"/>
  <c r="K12" i="7"/>
  <c r="K75" i="7" s="1"/>
  <c r="J12" i="7"/>
  <c r="J75" i="7" s="1"/>
  <c r="I12" i="7"/>
  <c r="I75" i="7" s="1"/>
  <c r="O11" i="7"/>
  <c r="O8" i="7" s="1"/>
  <c r="O10" i="7"/>
  <c r="O9" i="7"/>
  <c r="N8" i="7"/>
  <c r="M8" i="7"/>
  <c r="L8" i="7"/>
  <c r="K8" i="7"/>
  <c r="J8" i="7"/>
  <c r="I8" i="7"/>
  <c r="I5" i="10" l="1"/>
  <c r="I19" i="10" s="1"/>
  <c r="G5" i="10"/>
  <c r="G19" i="10" s="1"/>
  <c r="H5" i="10"/>
  <c r="H19" i="10" s="1"/>
  <c r="G9" i="9"/>
  <c r="H9" i="9"/>
  <c r="I9" i="9"/>
  <c r="G8" i="1"/>
  <c r="H8" i="1"/>
  <c r="I11" i="1"/>
  <c r="G10" i="1"/>
  <c r="H46" i="1"/>
  <c r="G5" i="1"/>
  <c r="G17" i="1"/>
  <c r="I5" i="1"/>
  <c r="I17" i="1"/>
  <c r="F46" i="1"/>
  <c r="G7" i="1"/>
  <c r="G9" i="1"/>
  <c r="G11" i="1"/>
  <c r="O75" i="7"/>
  <c r="I20" i="10" l="1"/>
  <c r="I10" i="9"/>
  <c r="I46" i="1"/>
  <c r="G46" i="1"/>
  <c r="I47" i="1" l="1"/>
  <c r="O66" i="8" l="1"/>
  <c r="N66" i="8"/>
  <c r="M66" i="8"/>
  <c r="L66" i="8"/>
  <c r="K66" i="8"/>
  <c r="J66" i="8"/>
  <c r="I66" i="8"/>
  <c r="O65" i="8"/>
  <c r="O64" i="8"/>
  <c r="O63" i="8"/>
  <c r="O62" i="8"/>
  <c r="O61" i="8"/>
  <c r="I60" i="8"/>
  <c r="O60" i="8" s="1"/>
  <c r="O59" i="8"/>
  <c r="O58" i="8"/>
  <c r="O57" i="8"/>
  <c r="O51" i="8" s="1"/>
  <c r="O56" i="8"/>
  <c r="O55" i="8"/>
  <c r="O54" i="8"/>
  <c r="O53" i="8"/>
  <c r="O52" i="8"/>
  <c r="N51" i="8"/>
  <c r="M51" i="8"/>
  <c r="L51" i="8"/>
  <c r="K51" i="8"/>
  <c r="J51" i="8"/>
  <c r="O50" i="8"/>
  <c r="O49" i="8"/>
  <c r="O48" i="8"/>
  <c r="O47" i="8"/>
  <c r="O46" i="8"/>
  <c r="O45" i="8"/>
  <c r="O44" i="8"/>
  <c r="O43" i="8"/>
  <c r="O42" i="8"/>
  <c r="O41" i="8"/>
  <c r="O40" i="8"/>
  <c r="O39" i="8"/>
  <c r="O38" i="8"/>
  <c r="O37" i="8"/>
  <c r="O36" i="8"/>
  <c r="O35" i="8"/>
  <c r="O34" i="8"/>
  <c r="O33" i="8"/>
  <c r="O32" i="8"/>
  <c r="K31" i="8"/>
  <c r="K8" i="8" s="1"/>
  <c r="K68" i="8" s="1"/>
  <c r="J31" i="8"/>
  <c r="I31" i="8"/>
  <c r="O30" i="8"/>
  <c r="O29" i="8"/>
  <c r="O28" i="8"/>
  <c r="O27" i="8"/>
  <c r="O26" i="8"/>
  <c r="O25" i="8"/>
  <c r="O24" i="8"/>
  <c r="O23" i="8"/>
  <c r="O22" i="8"/>
  <c r="O21" i="8"/>
  <c r="O20" i="8"/>
  <c r="O19" i="8"/>
  <c r="O18" i="8"/>
  <c r="O17" i="8"/>
  <c r="O16" i="8"/>
  <c r="O15" i="8"/>
  <c r="O14" i="8"/>
  <c r="O13" i="8"/>
  <c r="O12" i="8"/>
  <c r="O11" i="8"/>
  <c r="O10" i="8"/>
  <c r="O9" i="8"/>
  <c r="N8" i="8"/>
  <c r="N68" i="8" s="1"/>
  <c r="M8" i="8"/>
  <c r="M68" i="8" s="1"/>
  <c r="L8" i="8"/>
  <c r="J8" i="8"/>
  <c r="J68" i="8" s="1"/>
  <c r="I8" i="8"/>
  <c r="O31" i="8" l="1"/>
  <c r="O8" i="8"/>
  <c r="O68" i="8" s="1"/>
  <c r="L68" i="8"/>
  <c r="I51" i="8"/>
  <c r="I68" i="8" s="1"/>
  <c r="F53" i="2"/>
  <c r="V50" i="2"/>
  <c r="U50" i="2"/>
  <c r="T50" i="2"/>
  <c r="V49" i="2"/>
  <c r="U49" i="2"/>
  <c r="T49" i="2"/>
  <c r="F48" i="2"/>
  <c r="V47" i="2"/>
  <c r="U47" i="2"/>
  <c r="T47" i="2"/>
  <c r="V43" i="2"/>
  <c r="U43" i="2"/>
  <c r="T43" i="2"/>
  <c r="V42" i="2"/>
  <c r="U42" i="2"/>
  <c r="T42" i="2"/>
  <c r="V41" i="2"/>
  <c r="U41" i="2"/>
  <c r="T41" i="2"/>
  <c r="V40" i="2"/>
  <c r="U40" i="2"/>
  <c r="T40" i="2"/>
  <c r="V39" i="2"/>
  <c r="U39" i="2"/>
  <c r="T39" i="2"/>
  <c r="R53" i="2"/>
  <c r="P53" i="2"/>
  <c r="N53" i="2"/>
  <c r="K53" i="2"/>
  <c r="J53" i="2"/>
  <c r="I53" i="2"/>
  <c r="V51" i="2"/>
  <c r="U51" i="2"/>
  <c r="T51" i="2"/>
  <c r="V38" i="2"/>
  <c r="U38" i="2"/>
  <c r="T38" i="2"/>
  <c r="V37" i="2"/>
  <c r="U37" i="2"/>
  <c r="T37" i="2"/>
  <c r="V36" i="2"/>
  <c r="U36" i="2"/>
  <c r="T36" i="2"/>
  <c r="V35" i="2"/>
  <c r="U35" i="2"/>
  <c r="T35" i="2"/>
  <c r="V34" i="2"/>
  <c r="U34" i="2"/>
  <c r="T34" i="2"/>
  <c r="V33" i="2"/>
  <c r="U33" i="2"/>
  <c r="T33" i="2"/>
  <c r="V32" i="2"/>
  <c r="T32" i="2"/>
  <c r="V31" i="2"/>
  <c r="U31" i="2"/>
  <c r="T31" i="2"/>
  <c r="V30" i="2"/>
  <c r="U30" i="2"/>
  <c r="T30" i="2"/>
  <c r="V29" i="2"/>
  <c r="U29" i="2"/>
  <c r="T29" i="2"/>
  <c r="V28" i="2"/>
  <c r="U28" i="2"/>
  <c r="T28" i="2"/>
  <c r="V27" i="2"/>
  <c r="U27" i="2"/>
  <c r="T27" i="2"/>
  <c r="V26" i="2"/>
  <c r="U26" i="2"/>
  <c r="T26" i="2"/>
  <c r="V25" i="2"/>
  <c r="U25" i="2"/>
  <c r="T25" i="2"/>
  <c r="V24" i="2"/>
  <c r="U24" i="2"/>
  <c r="T24" i="2"/>
  <c r="V23" i="2"/>
  <c r="U23" i="2"/>
  <c r="T23" i="2"/>
  <c r="V22" i="2"/>
  <c r="U22" i="2"/>
  <c r="T22" i="2"/>
  <c r="V21" i="2"/>
  <c r="U21" i="2"/>
  <c r="T21" i="2"/>
  <c r="V20" i="2"/>
  <c r="U20" i="2"/>
  <c r="T20" i="2"/>
  <c r="V19" i="2"/>
  <c r="U19" i="2"/>
  <c r="T19" i="2"/>
  <c r="V18" i="2"/>
  <c r="U18" i="2"/>
  <c r="T18" i="2"/>
  <c r="V17" i="2"/>
  <c r="U17" i="2"/>
  <c r="T17" i="2"/>
  <c r="V16" i="2"/>
  <c r="U16" i="2"/>
  <c r="T16" i="2"/>
  <c r="V15" i="2"/>
  <c r="U15" i="2"/>
  <c r="T15" i="2"/>
  <c r="V14" i="2"/>
  <c r="U14" i="2"/>
  <c r="T14" i="2"/>
  <c r="V13" i="2"/>
  <c r="U13" i="2"/>
  <c r="T13" i="2"/>
  <c r="V12" i="2"/>
  <c r="U12" i="2"/>
  <c r="T12" i="2"/>
  <c r="V11" i="2"/>
  <c r="U11" i="2"/>
  <c r="T11" i="2"/>
  <c r="V10" i="2"/>
  <c r="U10" i="2"/>
  <c r="T10" i="2"/>
  <c r="V9" i="2"/>
  <c r="U9" i="2"/>
  <c r="T9" i="2"/>
  <c r="V8" i="2"/>
  <c r="U8" i="2"/>
  <c r="T8" i="2"/>
  <c r="V7" i="2"/>
  <c r="U7" i="2"/>
  <c r="T7" i="2"/>
  <c r="V6" i="2"/>
  <c r="U6" i="2"/>
  <c r="T6" i="2"/>
  <c r="U5" i="2"/>
  <c r="U53" i="2" l="1"/>
  <c r="V53" i="2"/>
  <c r="K54" i="2"/>
  <c r="T53" i="2"/>
</calcChain>
</file>

<file path=xl/comments1.xml><?xml version="1.0" encoding="utf-8"?>
<comments xmlns="http://schemas.openxmlformats.org/spreadsheetml/2006/main">
  <authors>
    <author>Lenovo</author>
  </authors>
  <commentList>
    <comment ref="F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 ref="H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List>
</comments>
</file>

<file path=xl/comments2.xml><?xml version="1.0" encoding="utf-8"?>
<comments xmlns="http://schemas.openxmlformats.org/spreadsheetml/2006/main">
  <authors>
    <author>TSU</author>
  </authors>
  <commentList>
    <comment ref="U5" authorId="0" shapeId="0">
      <text>
        <r>
          <rPr>
            <b/>
            <sz val="9"/>
            <color indexed="81"/>
            <rFont val="Tahoma"/>
            <family val="2"/>
          </rPr>
          <t>1.AP01110000060020010=28,000.00 บาท
2.AP01110000060020012=32,000.00 บาท</t>
        </r>
      </text>
    </comment>
    <comment ref="G12"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G13"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F18" authorId="0" shapeId="0">
      <text>
        <r>
          <rPr>
            <b/>
            <sz val="9"/>
            <color indexed="81"/>
            <rFont val="Tahoma"/>
            <family val="2"/>
          </rPr>
          <t>JV02050200360120132</t>
        </r>
      </text>
    </comment>
    <comment ref="F19" authorId="0" shapeId="0">
      <text>
        <r>
          <rPr>
            <b/>
            <sz val="9"/>
            <color indexed="81"/>
            <rFont val="Tahoma"/>
            <family val="2"/>
          </rPr>
          <t xml:space="preserve">JV02050200360120150
</t>
        </r>
      </text>
    </comment>
  </commentList>
</comments>
</file>

<file path=xl/comments3.xml><?xml version="1.0" encoding="utf-8"?>
<comments xmlns="http://schemas.openxmlformats.org/spreadsheetml/2006/main">
  <authors>
    <author>TSU</author>
  </authors>
  <commentList>
    <comment ref="H4" authorId="0" shapeId="0">
      <text>
        <r>
          <rPr>
            <b/>
            <sz val="9"/>
            <color indexed="81"/>
            <rFont val="Tahoma"/>
            <family val="2"/>
          </rPr>
          <t>TSU:</t>
        </r>
        <r>
          <rPr>
            <sz val="9"/>
            <color indexed="81"/>
            <rFont val="Tahoma"/>
            <family val="2"/>
          </rPr>
          <t xml:space="preserve">
RV02050200359100008</t>
        </r>
      </text>
    </comment>
    <comment ref="I4" authorId="0" shapeId="0">
      <text>
        <r>
          <rPr>
            <b/>
            <sz val="9"/>
            <color indexed="81"/>
            <rFont val="Tahoma"/>
            <family val="2"/>
          </rPr>
          <t>TSU:</t>
        </r>
        <r>
          <rPr>
            <sz val="9"/>
            <color indexed="81"/>
            <rFont val="Tahoma"/>
            <family val="2"/>
          </rPr>
          <t xml:space="preserve">
RV02050200359100009
</t>
        </r>
      </text>
    </comment>
    <comment ref="G5" authorId="0" shapeId="0">
      <text>
        <r>
          <rPr>
            <b/>
            <sz val="9"/>
            <color indexed="81"/>
            <rFont val="Tahoma"/>
            <family val="2"/>
          </rPr>
          <t>TSU:</t>
        </r>
        <r>
          <rPr>
            <sz val="9"/>
            <color indexed="81"/>
            <rFont val="Tahoma"/>
            <family val="2"/>
          </rPr>
          <t xml:space="preserve">
RV02050200359100086</t>
        </r>
      </text>
    </comment>
    <comment ref="H5" authorId="0" shapeId="0">
      <text>
        <r>
          <rPr>
            <b/>
            <sz val="9"/>
            <color indexed="81"/>
            <rFont val="Tahoma"/>
            <family val="2"/>
          </rPr>
          <t>TSU:</t>
        </r>
        <r>
          <rPr>
            <sz val="9"/>
            <color indexed="81"/>
            <rFont val="Tahoma"/>
            <family val="2"/>
          </rPr>
          <t xml:space="preserve">
RV02050200359100086</t>
        </r>
      </text>
    </comment>
    <comment ref="I5" authorId="0" shapeId="0">
      <text>
        <r>
          <rPr>
            <b/>
            <sz val="9"/>
            <color indexed="81"/>
            <rFont val="Tahoma"/>
            <family val="2"/>
          </rPr>
          <t>TSU:</t>
        </r>
        <r>
          <rPr>
            <sz val="9"/>
            <color indexed="81"/>
            <rFont val="Tahoma"/>
            <family val="2"/>
          </rPr>
          <t xml:space="preserve">
RV02050200359100087
</t>
        </r>
      </text>
    </comment>
    <comment ref="H6" authorId="0" shapeId="0">
      <text>
        <r>
          <rPr>
            <b/>
            <sz val="9"/>
            <color indexed="81"/>
            <rFont val="Tahoma"/>
            <family val="2"/>
          </rPr>
          <t>TSU:</t>
        </r>
        <r>
          <rPr>
            <sz val="9"/>
            <color indexed="81"/>
            <rFont val="Tahoma"/>
            <family val="2"/>
          </rPr>
          <t xml:space="preserve">
RV02050200359100117</t>
        </r>
      </text>
    </comment>
    <comment ref="I6" authorId="0" shapeId="0">
      <text>
        <r>
          <rPr>
            <b/>
            <sz val="9"/>
            <color indexed="81"/>
            <rFont val="Tahoma"/>
            <family val="2"/>
          </rPr>
          <t>TSU:</t>
        </r>
        <r>
          <rPr>
            <sz val="9"/>
            <color indexed="81"/>
            <rFont val="Tahoma"/>
            <family val="2"/>
          </rPr>
          <t xml:space="preserve">
RV02050200359100118
</t>
        </r>
      </text>
    </comment>
    <comment ref="G7" authorId="0" shapeId="0">
      <text>
        <r>
          <rPr>
            <b/>
            <sz val="9"/>
            <color indexed="81"/>
            <rFont val="Tahoma"/>
            <family val="2"/>
          </rPr>
          <t>TSU:</t>
        </r>
        <r>
          <rPr>
            <sz val="9"/>
            <color indexed="81"/>
            <rFont val="Tahoma"/>
            <family val="2"/>
          </rPr>
          <t xml:space="preserve">
RV02050200359100153</t>
        </r>
      </text>
    </comment>
    <comment ref="H7" authorId="0" shapeId="0">
      <text>
        <r>
          <rPr>
            <b/>
            <sz val="9"/>
            <color indexed="81"/>
            <rFont val="Tahoma"/>
            <family val="2"/>
          </rPr>
          <t>TSU:</t>
        </r>
        <r>
          <rPr>
            <sz val="9"/>
            <color indexed="81"/>
            <rFont val="Tahoma"/>
            <family val="2"/>
          </rPr>
          <t xml:space="preserve">
RV02050200359100153</t>
        </r>
      </text>
    </comment>
    <comment ref="I7" authorId="0" shapeId="0">
      <text>
        <r>
          <rPr>
            <b/>
            <sz val="9"/>
            <color indexed="81"/>
            <rFont val="Tahoma"/>
            <family val="2"/>
          </rPr>
          <t>TSU:</t>
        </r>
        <r>
          <rPr>
            <sz val="9"/>
            <color indexed="81"/>
            <rFont val="Tahoma"/>
            <family val="2"/>
          </rPr>
          <t xml:space="preserve">
RV02050200359100154</t>
        </r>
      </text>
    </comment>
    <comment ref="G8" authorId="0" shapeId="0">
      <text>
        <r>
          <rPr>
            <b/>
            <sz val="9"/>
            <color indexed="81"/>
            <rFont val="Tahoma"/>
            <family val="2"/>
          </rPr>
          <t>TSU:</t>
        </r>
        <r>
          <rPr>
            <sz val="9"/>
            <color indexed="81"/>
            <rFont val="Tahoma"/>
            <family val="2"/>
          </rPr>
          <t xml:space="preserve">
RV02050200359110095</t>
        </r>
      </text>
    </comment>
    <comment ref="H8" authorId="0" shapeId="0">
      <text>
        <r>
          <rPr>
            <b/>
            <sz val="9"/>
            <color indexed="81"/>
            <rFont val="Tahoma"/>
            <family val="2"/>
          </rPr>
          <t>TSU:</t>
        </r>
        <r>
          <rPr>
            <sz val="9"/>
            <color indexed="81"/>
            <rFont val="Tahoma"/>
            <family val="2"/>
          </rPr>
          <t xml:space="preserve">
RV02050200359110095</t>
        </r>
      </text>
    </comment>
    <comment ref="I8" authorId="0" shapeId="0">
      <text>
        <r>
          <rPr>
            <b/>
            <sz val="9"/>
            <color indexed="81"/>
            <rFont val="Tahoma"/>
            <family val="2"/>
          </rPr>
          <t>TSU:</t>
        </r>
        <r>
          <rPr>
            <sz val="9"/>
            <color indexed="81"/>
            <rFont val="Tahoma"/>
            <family val="2"/>
          </rPr>
          <t xml:space="preserve">
RV02050200359110096</t>
        </r>
      </text>
    </comment>
    <comment ref="G9" authorId="0" shapeId="0">
      <text>
        <r>
          <rPr>
            <b/>
            <sz val="9"/>
            <color indexed="81"/>
            <rFont val="Tahoma"/>
            <family val="2"/>
          </rPr>
          <t>TSU:</t>
        </r>
        <r>
          <rPr>
            <sz val="9"/>
            <color indexed="81"/>
            <rFont val="Tahoma"/>
            <family val="2"/>
          </rPr>
          <t xml:space="preserve">
RV02050200359110132
</t>
        </r>
      </text>
    </comment>
    <comment ref="H9" authorId="0" shapeId="0">
      <text>
        <r>
          <rPr>
            <b/>
            <sz val="9"/>
            <color indexed="81"/>
            <rFont val="Tahoma"/>
            <family val="2"/>
          </rPr>
          <t>TSU:</t>
        </r>
        <r>
          <rPr>
            <sz val="9"/>
            <color indexed="81"/>
            <rFont val="Tahoma"/>
            <family val="2"/>
          </rPr>
          <t xml:space="preserve">
RV02050200359110132</t>
        </r>
      </text>
    </comment>
    <comment ref="I9" authorId="0" shapeId="0">
      <text>
        <r>
          <rPr>
            <b/>
            <sz val="9"/>
            <color indexed="81"/>
            <rFont val="Tahoma"/>
            <family val="2"/>
          </rPr>
          <t>TSU:</t>
        </r>
        <r>
          <rPr>
            <sz val="9"/>
            <color indexed="81"/>
            <rFont val="Tahoma"/>
            <family val="2"/>
          </rPr>
          <t xml:space="preserve">
RV02050200359110133</t>
        </r>
      </text>
    </comment>
    <comment ref="G10" authorId="0" shapeId="0">
      <text>
        <r>
          <rPr>
            <b/>
            <sz val="9"/>
            <color indexed="81"/>
            <rFont val="Tahoma"/>
            <family val="2"/>
          </rPr>
          <t>TSU:</t>
        </r>
        <r>
          <rPr>
            <sz val="9"/>
            <color indexed="81"/>
            <rFont val="Tahoma"/>
            <family val="2"/>
          </rPr>
          <t xml:space="preserve">
RV02050200359110230
</t>
        </r>
      </text>
    </comment>
    <comment ref="H10" authorId="0" shapeId="0">
      <text>
        <r>
          <rPr>
            <b/>
            <sz val="9"/>
            <color indexed="81"/>
            <rFont val="Tahoma"/>
            <family val="2"/>
          </rPr>
          <t>TSU:</t>
        </r>
        <r>
          <rPr>
            <sz val="9"/>
            <color indexed="81"/>
            <rFont val="Tahoma"/>
            <family val="2"/>
          </rPr>
          <t xml:space="preserve">
RV02050200359110230
</t>
        </r>
      </text>
    </comment>
    <comment ref="I10" authorId="0" shapeId="0">
      <text>
        <r>
          <rPr>
            <b/>
            <sz val="9"/>
            <color indexed="81"/>
            <rFont val="Tahoma"/>
            <family val="2"/>
          </rPr>
          <t>TSU:</t>
        </r>
        <r>
          <rPr>
            <sz val="9"/>
            <color indexed="81"/>
            <rFont val="Tahoma"/>
            <family val="2"/>
          </rPr>
          <t xml:space="preserve">
RV02050200359110231</t>
        </r>
      </text>
    </comment>
    <comment ref="G11" authorId="0" shapeId="0">
      <text>
        <r>
          <rPr>
            <b/>
            <sz val="9"/>
            <color indexed="81"/>
            <rFont val="Tahoma"/>
            <family val="2"/>
          </rPr>
          <t>TSU:</t>
        </r>
        <r>
          <rPr>
            <sz val="9"/>
            <color indexed="81"/>
            <rFont val="Tahoma"/>
            <family val="2"/>
          </rPr>
          <t xml:space="preserve">
RV02050200359120190</t>
        </r>
      </text>
    </comment>
    <comment ref="H11" authorId="0" shapeId="0">
      <text>
        <r>
          <rPr>
            <b/>
            <sz val="9"/>
            <color indexed="81"/>
            <rFont val="Tahoma"/>
            <family val="2"/>
          </rPr>
          <t>TSU:</t>
        </r>
        <r>
          <rPr>
            <sz val="9"/>
            <color indexed="81"/>
            <rFont val="Tahoma"/>
            <family val="2"/>
          </rPr>
          <t xml:space="preserve">
RV02050200359120190</t>
        </r>
      </text>
    </comment>
    <comment ref="I11" authorId="0" shapeId="0">
      <text>
        <r>
          <rPr>
            <b/>
            <sz val="9"/>
            <color indexed="81"/>
            <rFont val="Tahoma"/>
            <family val="2"/>
          </rPr>
          <t>TSU:</t>
        </r>
        <r>
          <rPr>
            <sz val="9"/>
            <color indexed="81"/>
            <rFont val="Tahoma"/>
            <family val="2"/>
          </rPr>
          <t xml:space="preserve">
RV02050200359120191</t>
        </r>
      </text>
    </comment>
    <comment ref="G12" authorId="0" shapeId="0">
      <text>
        <r>
          <rPr>
            <b/>
            <sz val="9"/>
            <color indexed="81"/>
            <rFont val="Tahoma"/>
            <family val="2"/>
          </rPr>
          <t>TSU:</t>
        </r>
        <r>
          <rPr>
            <sz val="9"/>
            <color indexed="81"/>
            <rFont val="Tahoma"/>
            <family val="2"/>
          </rPr>
          <t xml:space="preserve">
RV02050200359120223</t>
        </r>
      </text>
    </comment>
    <comment ref="H12" authorId="0" shapeId="0">
      <text>
        <r>
          <rPr>
            <b/>
            <sz val="9"/>
            <color indexed="81"/>
            <rFont val="Tahoma"/>
            <family val="2"/>
          </rPr>
          <t>TSU:</t>
        </r>
        <r>
          <rPr>
            <sz val="9"/>
            <color indexed="81"/>
            <rFont val="Tahoma"/>
            <family val="2"/>
          </rPr>
          <t xml:space="preserve">
RV02050200359120223</t>
        </r>
      </text>
    </comment>
    <comment ref="I12" authorId="0" shapeId="0">
      <text>
        <r>
          <rPr>
            <b/>
            <sz val="9"/>
            <color indexed="81"/>
            <rFont val="Tahoma"/>
            <family val="2"/>
          </rPr>
          <t>TSU:</t>
        </r>
        <r>
          <rPr>
            <sz val="9"/>
            <color indexed="81"/>
            <rFont val="Tahoma"/>
            <family val="2"/>
          </rPr>
          <t xml:space="preserve">
RV02050200359120224</t>
        </r>
      </text>
    </comment>
    <comment ref="G13" authorId="0" shapeId="0">
      <text>
        <r>
          <rPr>
            <b/>
            <sz val="9"/>
            <color indexed="81"/>
            <rFont val="Tahoma"/>
            <family val="2"/>
          </rPr>
          <t>TSU:</t>
        </r>
        <r>
          <rPr>
            <sz val="9"/>
            <color indexed="81"/>
            <rFont val="Tahoma"/>
            <family val="2"/>
          </rPr>
          <t xml:space="preserve">
RV02050200359120259</t>
        </r>
      </text>
    </comment>
    <comment ref="G14" authorId="0" shapeId="0">
      <text>
        <r>
          <rPr>
            <b/>
            <sz val="9"/>
            <color indexed="81"/>
            <rFont val="Tahoma"/>
            <family val="2"/>
          </rPr>
          <t>TSU:</t>
        </r>
        <r>
          <rPr>
            <sz val="9"/>
            <color indexed="81"/>
            <rFont val="Tahoma"/>
            <family val="2"/>
          </rPr>
          <t xml:space="preserve">
RV02050200359120311</t>
        </r>
      </text>
    </comment>
    <comment ref="H14" authorId="0" shapeId="0">
      <text>
        <r>
          <rPr>
            <b/>
            <sz val="9"/>
            <color indexed="81"/>
            <rFont val="Tahoma"/>
            <family val="2"/>
          </rPr>
          <t>TSU:</t>
        </r>
        <r>
          <rPr>
            <sz val="9"/>
            <color indexed="81"/>
            <rFont val="Tahoma"/>
            <family val="2"/>
          </rPr>
          <t xml:space="preserve">
RV02050200359120311</t>
        </r>
      </text>
    </comment>
    <comment ref="I14" authorId="0" shapeId="0">
      <text>
        <r>
          <rPr>
            <b/>
            <sz val="9"/>
            <color indexed="81"/>
            <rFont val="Tahoma"/>
            <family val="2"/>
          </rPr>
          <t>TSU:</t>
        </r>
        <r>
          <rPr>
            <sz val="9"/>
            <color indexed="81"/>
            <rFont val="Tahoma"/>
            <family val="2"/>
          </rPr>
          <t xml:space="preserve">
RV02050200359120312
</t>
        </r>
      </text>
    </comment>
    <comment ref="G15" authorId="0" shapeId="0">
      <text>
        <r>
          <rPr>
            <b/>
            <sz val="9"/>
            <color indexed="81"/>
            <rFont val="Tahoma"/>
            <family val="2"/>
          </rPr>
          <t>TSU:</t>
        </r>
        <r>
          <rPr>
            <sz val="9"/>
            <color indexed="81"/>
            <rFont val="Tahoma"/>
            <family val="2"/>
          </rPr>
          <t xml:space="preserve">
JV02050200359010068</t>
        </r>
      </text>
    </comment>
    <comment ref="I15" authorId="0" shapeId="0">
      <text>
        <r>
          <rPr>
            <b/>
            <sz val="9"/>
            <color indexed="81"/>
            <rFont val="Tahoma"/>
            <family val="2"/>
          </rPr>
          <t>TSU:</t>
        </r>
        <r>
          <rPr>
            <sz val="9"/>
            <color indexed="81"/>
            <rFont val="Tahoma"/>
            <family val="2"/>
          </rPr>
          <t xml:space="preserve">
JV02050200359010069</t>
        </r>
      </text>
    </comment>
    <comment ref="H16" authorId="0" shapeId="0">
      <text>
        <r>
          <rPr>
            <b/>
            <sz val="9"/>
            <color indexed="81"/>
            <rFont val="Tahoma"/>
            <family val="2"/>
          </rPr>
          <t>TSU:</t>
        </r>
        <r>
          <rPr>
            <sz val="9"/>
            <color indexed="81"/>
            <rFont val="Tahoma"/>
            <family val="2"/>
          </rPr>
          <t xml:space="preserve">
RV02050200359010024</t>
        </r>
      </text>
    </comment>
    <comment ref="G17" authorId="0" shapeId="0">
      <text>
        <r>
          <rPr>
            <b/>
            <sz val="9"/>
            <color indexed="81"/>
            <rFont val="Tahoma"/>
            <family val="2"/>
          </rPr>
          <t>TSU:</t>
        </r>
        <r>
          <rPr>
            <sz val="9"/>
            <color indexed="81"/>
            <rFont val="Tahoma"/>
            <family val="2"/>
          </rPr>
          <t xml:space="preserve">
RV02050200359010077</t>
        </r>
      </text>
    </comment>
    <comment ref="H17" authorId="0" shapeId="0">
      <text>
        <r>
          <rPr>
            <b/>
            <sz val="9"/>
            <color indexed="81"/>
            <rFont val="Tahoma"/>
            <family val="2"/>
          </rPr>
          <t>TSU:</t>
        </r>
        <r>
          <rPr>
            <sz val="9"/>
            <color indexed="81"/>
            <rFont val="Tahoma"/>
            <family val="2"/>
          </rPr>
          <t xml:space="preserve">
RV02050200359010077</t>
        </r>
      </text>
    </comment>
    <comment ref="I17" authorId="0" shapeId="0">
      <text>
        <r>
          <rPr>
            <b/>
            <sz val="9"/>
            <color indexed="81"/>
            <rFont val="Tahoma"/>
            <family val="2"/>
          </rPr>
          <t>TSU:</t>
        </r>
        <r>
          <rPr>
            <sz val="9"/>
            <color indexed="81"/>
            <rFont val="Tahoma"/>
            <family val="2"/>
          </rPr>
          <t xml:space="preserve">
RV02050200359010078
</t>
        </r>
      </text>
    </comment>
    <comment ref="G18" authorId="0" shapeId="0">
      <text>
        <r>
          <rPr>
            <b/>
            <sz val="9"/>
            <color indexed="81"/>
            <rFont val="Tahoma"/>
            <family val="2"/>
          </rPr>
          <t>TSU:</t>
        </r>
        <r>
          <rPr>
            <sz val="9"/>
            <color indexed="81"/>
            <rFont val="Tahoma"/>
            <family val="2"/>
          </rPr>
          <t xml:space="preserve">
RV02050200359010192</t>
        </r>
      </text>
    </comment>
    <comment ref="H18" authorId="0" shapeId="0">
      <text>
        <r>
          <rPr>
            <b/>
            <sz val="9"/>
            <color indexed="81"/>
            <rFont val="Tahoma"/>
            <family val="2"/>
          </rPr>
          <t>TSU:</t>
        </r>
        <r>
          <rPr>
            <sz val="9"/>
            <color indexed="81"/>
            <rFont val="Tahoma"/>
            <family val="2"/>
          </rPr>
          <t xml:space="preserve">
RV02050200359010192</t>
        </r>
      </text>
    </comment>
    <comment ref="I18" authorId="0" shapeId="0">
      <text>
        <r>
          <rPr>
            <b/>
            <sz val="9"/>
            <color indexed="81"/>
            <rFont val="Tahoma"/>
            <family val="2"/>
          </rPr>
          <t>TSU:</t>
        </r>
        <r>
          <rPr>
            <sz val="9"/>
            <color indexed="81"/>
            <rFont val="Tahoma"/>
            <family val="2"/>
          </rPr>
          <t xml:space="preserve">
RV02050200359010193</t>
        </r>
      </text>
    </comment>
    <comment ref="G19" authorId="0" shapeId="0">
      <text>
        <r>
          <rPr>
            <b/>
            <sz val="9"/>
            <color indexed="81"/>
            <rFont val="Tahoma"/>
            <family val="2"/>
          </rPr>
          <t>TSU:</t>
        </r>
        <r>
          <rPr>
            <sz val="9"/>
            <color indexed="81"/>
            <rFont val="Tahoma"/>
            <family val="2"/>
          </rPr>
          <t xml:space="preserve">
RV02050200359010208</t>
        </r>
      </text>
    </comment>
    <comment ref="H19" authorId="0" shapeId="0">
      <text>
        <r>
          <rPr>
            <b/>
            <sz val="9"/>
            <color indexed="81"/>
            <rFont val="Tahoma"/>
            <family val="2"/>
          </rPr>
          <t>TSU:</t>
        </r>
        <r>
          <rPr>
            <sz val="9"/>
            <color indexed="81"/>
            <rFont val="Tahoma"/>
            <family val="2"/>
          </rPr>
          <t xml:space="preserve">
RV02050200359010208</t>
        </r>
      </text>
    </comment>
    <comment ref="I19" authorId="0" shapeId="0">
      <text>
        <r>
          <rPr>
            <b/>
            <sz val="9"/>
            <color indexed="81"/>
            <rFont val="Tahoma"/>
            <family val="2"/>
          </rPr>
          <t>TSU:</t>
        </r>
        <r>
          <rPr>
            <sz val="9"/>
            <color indexed="81"/>
            <rFont val="Tahoma"/>
            <family val="2"/>
          </rPr>
          <t xml:space="preserve">
RV02050200359010209</t>
        </r>
      </text>
    </comment>
    <comment ref="G20" authorId="0" shapeId="0">
      <text>
        <r>
          <rPr>
            <b/>
            <sz val="9"/>
            <color indexed="81"/>
            <rFont val="Tahoma"/>
            <family val="2"/>
          </rPr>
          <t>TSU:</t>
        </r>
        <r>
          <rPr>
            <sz val="9"/>
            <color indexed="81"/>
            <rFont val="Tahoma"/>
            <family val="2"/>
          </rPr>
          <t xml:space="preserve">
AP02050200359020205</t>
        </r>
      </text>
    </comment>
    <comment ref="H20" authorId="0" shapeId="0">
      <text>
        <r>
          <rPr>
            <b/>
            <sz val="9"/>
            <color indexed="81"/>
            <rFont val="Tahoma"/>
            <family val="2"/>
          </rPr>
          <t>TSU:</t>
        </r>
        <r>
          <rPr>
            <sz val="9"/>
            <color indexed="81"/>
            <rFont val="Tahoma"/>
            <family val="2"/>
          </rPr>
          <t xml:space="preserve">
AP02050200359020205</t>
        </r>
      </text>
    </comment>
    <comment ref="I20" authorId="0" shapeId="0">
      <text>
        <r>
          <rPr>
            <b/>
            <sz val="9"/>
            <color indexed="81"/>
            <rFont val="Tahoma"/>
            <family val="2"/>
          </rPr>
          <t>TSU:</t>
        </r>
        <r>
          <rPr>
            <sz val="9"/>
            <color indexed="81"/>
            <rFont val="Tahoma"/>
            <family val="2"/>
          </rPr>
          <t xml:space="preserve">
AP02050200359020206</t>
        </r>
      </text>
    </comment>
    <comment ref="G21" authorId="0" shapeId="0">
      <text>
        <r>
          <rPr>
            <b/>
            <sz val="9"/>
            <color indexed="81"/>
            <rFont val="Tahoma"/>
            <family val="2"/>
          </rPr>
          <t>TSU:</t>
        </r>
        <r>
          <rPr>
            <sz val="9"/>
            <color indexed="81"/>
            <rFont val="Tahoma"/>
            <family val="2"/>
          </rPr>
          <t xml:space="preserve">
RV02050200359030100</t>
        </r>
      </text>
    </comment>
    <comment ref="H21" authorId="0" shapeId="0">
      <text>
        <r>
          <rPr>
            <b/>
            <sz val="9"/>
            <color indexed="81"/>
            <rFont val="Tahoma"/>
            <family val="2"/>
          </rPr>
          <t>TSU:</t>
        </r>
        <r>
          <rPr>
            <sz val="9"/>
            <color indexed="81"/>
            <rFont val="Tahoma"/>
            <family val="2"/>
          </rPr>
          <t xml:space="preserve">
RV02050200359030100</t>
        </r>
      </text>
    </comment>
    <comment ref="I21" authorId="0" shapeId="0">
      <text>
        <r>
          <rPr>
            <b/>
            <sz val="9"/>
            <color indexed="81"/>
            <rFont val="Tahoma"/>
            <family val="2"/>
          </rPr>
          <t>TSU:</t>
        </r>
        <r>
          <rPr>
            <sz val="9"/>
            <color indexed="81"/>
            <rFont val="Tahoma"/>
            <family val="2"/>
          </rPr>
          <t xml:space="preserve">
RV02050200359030101
</t>
        </r>
      </text>
    </comment>
    <comment ref="G22" authorId="0" shapeId="0">
      <text>
        <r>
          <rPr>
            <b/>
            <sz val="9"/>
            <color indexed="81"/>
            <rFont val="Tahoma"/>
            <family val="2"/>
          </rPr>
          <t>TSU:</t>
        </r>
        <r>
          <rPr>
            <sz val="9"/>
            <color indexed="81"/>
            <rFont val="Tahoma"/>
            <family val="2"/>
          </rPr>
          <t xml:space="preserve">
RV02050200359030217</t>
        </r>
      </text>
    </comment>
    <comment ref="H22" authorId="0" shapeId="0">
      <text>
        <r>
          <rPr>
            <b/>
            <sz val="9"/>
            <color indexed="81"/>
            <rFont val="Tahoma"/>
            <family val="2"/>
          </rPr>
          <t>TSU:</t>
        </r>
        <r>
          <rPr>
            <sz val="9"/>
            <color indexed="81"/>
            <rFont val="Tahoma"/>
            <family val="2"/>
          </rPr>
          <t xml:space="preserve">
RV02050200359030217</t>
        </r>
      </text>
    </comment>
    <comment ref="I22" authorId="0" shapeId="0">
      <text>
        <r>
          <rPr>
            <b/>
            <sz val="9"/>
            <color indexed="81"/>
            <rFont val="Tahoma"/>
            <family val="2"/>
          </rPr>
          <t>TSU:</t>
        </r>
        <r>
          <rPr>
            <sz val="9"/>
            <color indexed="81"/>
            <rFont val="Tahoma"/>
            <family val="2"/>
          </rPr>
          <t xml:space="preserve">
RV02050200359030218
</t>
        </r>
      </text>
    </comment>
    <comment ref="G23" authorId="0" shapeId="0">
      <text>
        <r>
          <rPr>
            <b/>
            <sz val="9"/>
            <color indexed="81"/>
            <rFont val="Tahoma"/>
            <family val="2"/>
          </rPr>
          <t>TSU:</t>
        </r>
        <r>
          <rPr>
            <sz val="9"/>
            <color indexed="81"/>
            <rFont val="Tahoma"/>
            <family val="2"/>
          </rPr>
          <t xml:space="preserve">
RV02050200359030282</t>
        </r>
      </text>
    </comment>
    <comment ref="H23" authorId="0" shapeId="0">
      <text>
        <r>
          <rPr>
            <b/>
            <sz val="9"/>
            <color indexed="81"/>
            <rFont val="Tahoma"/>
            <family val="2"/>
          </rPr>
          <t>TSU:</t>
        </r>
        <r>
          <rPr>
            <sz val="9"/>
            <color indexed="81"/>
            <rFont val="Tahoma"/>
            <family val="2"/>
          </rPr>
          <t xml:space="preserve">
RV02050200359030282</t>
        </r>
      </text>
    </comment>
    <comment ref="I23" authorId="0" shapeId="0">
      <text>
        <r>
          <rPr>
            <b/>
            <sz val="9"/>
            <color indexed="81"/>
            <rFont val="Tahoma"/>
            <family val="2"/>
          </rPr>
          <t>TSU:</t>
        </r>
        <r>
          <rPr>
            <sz val="9"/>
            <color indexed="81"/>
            <rFont val="Tahoma"/>
            <family val="2"/>
          </rPr>
          <t xml:space="preserve">
RV02050200359030283</t>
        </r>
      </text>
    </comment>
    <comment ref="G24" authorId="0" shapeId="0">
      <text>
        <r>
          <rPr>
            <b/>
            <sz val="9"/>
            <color indexed="81"/>
            <rFont val="Tahoma"/>
            <family val="2"/>
          </rPr>
          <t>TSU:</t>
        </r>
        <r>
          <rPr>
            <sz val="9"/>
            <color indexed="81"/>
            <rFont val="Tahoma"/>
            <family val="2"/>
          </rPr>
          <t xml:space="preserve">
RV02050200359040012</t>
        </r>
      </text>
    </comment>
    <comment ref="H24" authorId="0" shapeId="0">
      <text>
        <r>
          <rPr>
            <b/>
            <sz val="9"/>
            <color indexed="81"/>
            <rFont val="Tahoma"/>
            <family val="2"/>
          </rPr>
          <t>TSU:</t>
        </r>
        <r>
          <rPr>
            <sz val="9"/>
            <color indexed="81"/>
            <rFont val="Tahoma"/>
            <family val="2"/>
          </rPr>
          <t xml:space="preserve">
RV02050200359040012</t>
        </r>
      </text>
    </comment>
    <comment ref="I24" authorId="0" shapeId="0">
      <text>
        <r>
          <rPr>
            <b/>
            <sz val="9"/>
            <color indexed="81"/>
            <rFont val="Tahoma"/>
            <family val="2"/>
          </rPr>
          <t>TSU:</t>
        </r>
        <r>
          <rPr>
            <sz val="9"/>
            <color indexed="81"/>
            <rFont val="Tahoma"/>
            <family val="2"/>
          </rPr>
          <t xml:space="preserve">
RV02050200359040013</t>
        </r>
      </text>
    </comment>
    <comment ref="G25" authorId="0" shapeId="0">
      <text>
        <r>
          <rPr>
            <b/>
            <sz val="9"/>
            <color indexed="81"/>
            <rFont val="Tahoma"/>
            <family val="2"/>
          </rPr>
          <t>TSU:</t>
        </r>
        <r>
          <rPr>
            <sz val="9"/>
            <color indexed="81"/>
            <rFont val="Tahoma"/>
            <family val="2"/>
          </rPr>
          <t xml:space="preserve">
RV02050200359040014</t>
        </r>
      </text>
    </comment>
    <comment ref="H25" authorId="0" shapeId="0">
      <text>
        <r>
          <rPr>
            <b/>
            <sz val="9"/>
            <color indexed="81"/>
            <rFont val="Tahoma"/>
            <family val="2"/>
          </rPr>
          <t>TSU:</t>
        </r>
        <r>
          <rPr>
            <sz val="9"/>
            <color indexed="81"/>
            <rFont val="Tahoma"/>
            <family val="2"/>
          </rPr>
          <t xml:space="preserve">
RV02050200359040014</t>
        </r>
      </text>
    </comment>
    <comment ref="I25" authorId="0" shapeId="0">
      <text>
        <r>
          <rPr>
            <b/>
            <sz val="9"/>
            <color indexed="81"/>
            <rFont val="Tahoma"/>
            <family val="2"/>
          </rPr>
          <t>TSU:</t>
        </r>
        <r>
          <rPr>
            <sz val="9"/>
            <color indexed="81"/>
            <rFont val="Tahoma"/>
            <family val="2"/>
          </rPr>
          <t xml:space="preserve">
RV02050200359040015</t>
        </r>
      </text>
    </comment>
    <comment ref="G26" authorId="0" shapeId="0">
      <text>
        <r>
          <rPr>
            <b/>
            <sz val="9"/>
            <color indexed="81"/>
            <rFont val="Tahoma"/>
            <family val="2"/>
          </rPr>
          <t>TSU:</t>
        </r>
        <r>
          <rPr>
            <sz val="9"/>
            <color indexed="81"/>
            <rFont val="Tahoma"/>
            <family val="2"/>
          </rPr>
          <t xml:space="preserve">
RV02050200359050045</t>
        </r>
      </text>
    </comment>
    <comment ref="H26" authorId="0" shapeId="0">
      <text>
        <r>
          <rPr>
            <b/>
            <sz val="9"/>
            <color indexed="81"/>
            <rFont val="Tahoma"/>
            <family val="2"/>
          </rPr>
          <t>TSU:</t>
        </r>
        <r>
          <rPr>
            <sz val="9"/>
            <color indexed="81"/>
            <rFont val="Tahoma"/>
            <family val="2"/>
          </rPr>
          <t xml:space="preserve">
RV02050200359050045</t>
        </r>
      </text>
    </comment>
    <comment ref="I26" authorId="0" shapeId="0">
      <text>
        <r>
          <rPr>
            <b/>
            <sz val="9"/>
            <color indexed="81"/>
            <rFont val="Tahoma"/>
            <family val="2"/>
          </rPr>
          <t>TSU:</t>
        </r>
        <r>
          <rPr>
            <sz val="9"/>
            <color indexed="81"/>
            <rFont val="Tahoma"/>
            <family val="2"/>
          </rPr>
          <t xml:space="preserve">
RV02050200359050046</t>
        </r>
      </text>
    </comment>
    <comment ref="G27" authorId="0" shapeId="0">
      <text>
        <r>
          <rPr>
            <b/>
            <sz val="9"/>
            <color indexed="81"/>
            <rFont val="Tahoma"/>
            <family val="2"/>
          </rPr>
          <t>TSU:</t>
        </r>
        <r>
          <rPr>
            <sz val="9"/>
            <color indexed="81"/>
            <rFont val="Tahoma"/>
            <family val="2"/>
          </rPr>
          <t xml:space="preserve">
AP02050200359010110</t>
        </r>
      </text>
    </comment>
    <comment ref="H27" authorId="0" shapeId="0">
      <text>
        <r>
          <rPr>
            <b/>
            <sz val="9"/>
            <color indexed="81"/>
            <rFont val="Tahoma"/>
            <family val="2"/>
          </rPr>
          <t>TSU:</t>
        </r>
        <r>
          <rPr>
            <sz val="9"/>
            <color indexed="81"/>
            <rFont val="Tahoma"/>
            <family val="2"/>
          </rPr>
          <t xml:space="preserve">
AP02050200359010110</t>
        </r>
      </text>
    </comment>
    <comment ref="I27" authorId="0" shapeId="0">
      <text>
        <r>
          <rPr>
            <b/>
            <sz val="9"/>
            <color indexed="81"/>
            <rFont val="Tahoma"/>
            <family val="2"/>
          </rPr>
          <t>TSU:</t>
        </r>
        <r>
          <rPr>
            <sz val="9"/>
            <color indexed="81"/>
            <rFont val="Tahoma"/>
            <family val="2"/>
          </rPr>
          <t xml:space="preserve">
AP02050200359010111</t>
        </r>
      </text>
    </comment>
    <comment ref="G28" authorId="0" shapeId="0">
      <text>
        <r>
          <rPr>
            <b/>
            <sz val="9"/>
            <color indexed="81"/>
            <rFont val="Tahoma"/>
            <family val="2"/>
          </rPr>
          <t>TSU:
RV02050200359050184</t>
        </r>
      </text>
    </comment>
    <comment ref="H28" authorId="0" shapeId="0">
      <text>
        <r>
          <rPr>
            <b/>
            <sz val="9"/>
            <color indexed="81"/>
            <rFont val="Tahoma"/>
            <family val="2"/>
          </rPr>
          <t>TSU:</t>
        </r>
        <r>
          <rPr>
            <sz val="9"/>
            <color indexed="81"/>
            <rFont val="Tahoma"/>
            <family val="2"/>
          </rPr>
          <t xml:space="preserve">
RV02050200359050184</t>
        </r>
      </text>
    </comment>
    <comment ref="I28" authorId="0" shapeId="0">
      <text>
        <r>
          <rPr>
            <b/>
            <sz val="9"/>
            <color indexed="81"/>
            <rFont val="Tahoma"/>
            <family val="2"/>
          </rPr>
          <t>TSU:</t>
        </r>
        <r>
          <rPr>
            <sz val="9"/>
            <color indexed="81"/>
            <rFont val="Tahoma"/>
            <family val="2"/>
          </rPr>
          <t xml:space="preserve">
RV02050200359050185</t>
        </r>
      </text>
    </comment>
    <comment ref="G29" authorId="0" shapeId="0">
      <text>
        <r>
          <rPr>
            <b/>
            <sz val="9"/>
            <color indexed="81"/>
            <rFont val="Tahoma"/>
            <family val="2"/>
          </rPr>
          <t>TSU:</t>
        </r>
        <r>
          <rPr>
            <sz val="9"/>
            <color indexed="81"/>
            <rFont val="Tahoma"/>
            <family val="2"/>
          </rPr>
          <t xml:space="preserve">
RV02050200359060072</t>
        </r>
      </text>
    </comment>
    <comment ref="G30" authorId="0" shapeId="0">
      <text>
        <r>
          <rPr>
            <b/>
            <sz val="9"/>
            <color indexed="81"/>
            <rFont val="Tahoma"/>
            <family val="2"/>
          </rPr>
          <t>TSU:</t>
        </r>
        <r>
          <rPr>
            <sz val="9"/>
            <color indexed="81"/>
            <rFont val="Tahoma"/>
            <family val="2"/>
          </rPr>
          <t xml:space="preserve">
RV02050200359060072</t>
        </r>
      </text>
    </comment>
    <comment ref="G31" authorId="0" shapeId="0">
      <text>
        <r>
          <rPr>
            <b/>
            <sz val="9"/>
            <color indexed="81"/>
            <rFont val="Tahoma"/>
            <family val="2"/>
          </rPr>
          <t>TSU:</t>
        </r>
        <r>
          <rPr>
            <sz val="9"/>
            <color indexed="81"/>
            <rFont val="Tahoma"/>
            <family val="2"/>
          </rPr>
          <t xml:space="preserve">
RV02050200359060202</t>
        </r>
      </text>
    </comment>
    <comment ref="H31" authorId="0" shapeId="0">
      <text>
        <r>
          <rPr>
            <b/>
            <sz val="9"/>
            <color indexed="81"/>
            <rFont val="Tahoma"/>
            <family val="2"/>
          </rPr>
          <t>TSU:</t>
        </r>
        <r>
          <rPr>
            <sz val="9"/>
            <color indexed="81"/>
            <rFont val="Tahoma"/>
            <family val="2"/>
          </rPr>
          <t xml:space="preserve">
RV02050200359060202</t>
        </r>
      </text>
    </comment>
    <comment ref="I31" authorId="0" shapeId="0">
      <text>
        <r>
          <rPr>
            <b/>
            <sz val="9"/>
            <color indexed="81"/>
            <rFont val="Tahoma"/>
            <family val="2"/>
          </rPr>
          <t>TSU:</t>
        </r>
        <r>
          <rPr>
            <sz val="9"/>
            <color indexed="81"/>
            <rFont val="Tahoma"/>
            <family val="2"/>
          </rPr>
          <t xml:space="preserve">
RV02050200359060203</t>
        </r>
      </text>
    </comment>
    <comment ref="G32" authorId="0" shapeId="0">
      <text>
        <r>
          <rPr>
            <b/>
            <sz val="9"/>
            <color indexed="81"/>
            <rFont val="Tahoma"/>
            <family val="2"/>
          </rPr>
          <t>TSU:</t>
        </r>
        <r>
          <rPr>
            <sz val="9"/>
            <color indexed="81"/>
            <rFont val="Tahoma"/>
            <family val="2"/>
          </rPr>
          <t xml:space="preserve">
RV02050200359060280</t>
        </r>
      </text>
    </comment>
    <comment ref="H32" authorId="0" shapeId="0">
      <text>
        <r>
          <rPr>
            <b/>
            <sz val="9"/>
            <color indexed="81"/>
            <rFont val="Tahoma"/>
            <family val="2"/>
          </rPr>
          <t>TSU:</t>
        </r>
        <r>
          <rPr>
            <sz val="9"/>
            <color indexed="81"/>
            <rFont val="Tahoma"/>
            <family val="2"/>
          </rPr>
          <t xml:space="preserve">
RV02050200359060280</t>
        </r>
      </text>
    </comment>
    <comment ref="I32" authorId="0" shapeId="0">
      <text>
        <r>
          <rPr>
            <b/>
            <sz val="9"/>
            <color indexed="81"/>
            <rFont val="Tahoma"/>
            <family val="2"/>
          </rPr>
          <t>TSU:</t>
        </r>
        <r>
          <rPr>
            <sz val="9"/>
            <color indexed="81"/>
            <rFont val="Tahoma"/>
            <family val="2"/>
          </rPr>
          <t xml:space="preserve">
RV02050200359060281</t>
        </r>
      </text>
    </comment>
    <comment ref="G33" authorId="0" shapeId="0">
      <text>
        <r>
          <rPr>
            <b/>
            <sz val="9"/>
            <color indexed="81"/>
            <rFont val="Tahoma"/>
            <family val="2"/>
          </rPr>
          <t>TSU:</t>
        </r>
        <r>
          <rPr>
            <sz val="9"/>
            <color indexed="81"/>
            <rFont val="Tahoma"/>
            <family val="2"/>
          </rPr>
          <t xml:space="preserve">
02050200359070366</t>
        </r>
      </text>
    </comment>
    <comment ref="H33" authorId="0" shapeId="0">
      <text>
        <r>
          <rPr>
            <b/>
            <sz val="9"/>
            <color indexed="81"/>
            <rFont val="Tahoma"/>
            <family val="2"/>
          </rPr>
          <t>TSU:</t>
        </r>
        <r>
          <rPr>
            <sz val="9"/>
            <color indexed="81"/>
            <rFont val="Tahoma"/>
            <family val="2"/>
          </rPr>
          <t xml:space="preserve">
02050200359070366</t>
        </r>
      </text>
    </comment>
    <comment ref="I33" authorId="0" shapeId="0">
      <text>
        <r>
          <rPr>
            <b/>
            <sz val="9"/>
            <color indexed="81"/>
            <rFont val="Tahoma"/>
            <family val="2"/>
          </rPr>
          <t>TSU:</t>
        </r>
        <r>
          <rPr>
            <sz val="9"/>
            <color indexed="81"/>
            <rFont val="Tahoma"/>
            <family val="2"/>
          </rPr>
          <t xml:space="preserve">
02050200359070367</t>
        </r>
      </text>
    </comment>
    <comment ref="G35" authorId="0" shapeId="0">
      <text>
        <r>
          <rPr>
            <b/>
            <sz val="9"/>
            <color indexed="81"/>
            <rFont val="Tahoma"/>
            <family val="2"/>
          </rPr>
          <t>TSU:</t>
        </r>
        <r>
          <rPr>
            <sz val="9"/>
            <color indexed="81"/>
            <rFont val="Tahoma"/>
            <family val="2"/>
          </rPr>
          <t xml:space="preserve">
RV02050200359080027
</t>
        </r>
      </text>
    </comment>
    <comment ref="H35" authorId="0" shapeId="0">
      <text>
        <r>
          <rPr>
            <b/>
            <sz val="9"/>
            <color indexed="81"/>
            <rFont val="Tahoma"/>
            <family val="2"/>
          </rPr>
          <t>TSU:</t>
        </r>
        <r>
          <rPr>
            <sz val="9"/>
            <color indexed="81"/>
            <rFont val="Tahoma"/>
            <family val="2"/>
          </rPr>
          <t xml:space="preserve">
RV02050200359080027</t>
        </r>
      </text>
    </comment>
    <comment ref="I35" authorId="0" shapeId="0">
      <text>
        <r>
          <rPr>
            <b/>
            <sz val="9"/>
            <color indexed="81"/>
            <rFont val="Tahoma"/>
            <family val="2"/>
          </rPr>
          <t>TSU:</t>
        </r>
        <r>
          <rPr>
            <sz val="9"/>
            <color indexed="81"/>
            <rFont val="Tahoma"/>
            <family val="2"/>
          </rPr>
          <t xml:space="preserve">
RV02050200359080028
</t>
        </r>
      </text>
    </comment>
    <comment ref="G36" authorId="0" shapeId="0">
      <text>
        <r>
          <rPr>
            <b/>
            <sz val="9"/>
            <color indexed="81"/>
            <rFont val="Tahoma"/>
            <family val="2"/>
          </rPr>
          <t>TSU:</t>
        </r>
        <r>
          <rPr>
            <sz val="9"/>
            <color indexed="81"/>
            <rFont val="Tahoma"/>
            <family val="2"/>
          </rPr>
          <t xml:space="preserve">
RV02050200359080342</t>
        </r>
      </text>
    </comment>
  </commentList>
</comments>
</file>

<file path=xl/comments4.xml><?xml version="1.0" encoding="utf-8"?>
<comments xmlns="http://schemas.openxmlformats.org/spreadsheetml/2006/main">
  <authors>
    <author>TSU</author>
  </authors>
  <commentList>
    <comment ref="D9" authorId="0" shapeId="0">
      <text>
        <r>
          <rPr>
            <b/>
            <sz val="9"/>
            <color indexed="81"/>
            <rFont val="Tahoma"/>
            <family val="2"/>
          </rPr>
          <t>TSU:</t>
        </r>
        <r>
          <rPr>
            <sz val="9"/>
            <color indexed="81"/>
            <rFont val="Tahoma"/>
            <family val="2"/>
          </rPr>
          <t xml:space="preserve">
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r>
      </text>
    </comment>
    <comment ref="D12" authorId="0" shapeId="0">
      <text>
        <r>
          <rPr>
            <b/>
            <sz val="9"/>
            <color indexed="81"/>
            <rFont val="Tahoma"/>
            <family val="2"/>
          </rPr>
          <t>TSU:</t>
        </r>
        <r>
          <rPr>
            <sz val="9"/>
            <color indexed="81"/>
            <rFont val="Tahoma"/>
            <family val="2"/>
          </rPr>
          <t xml:space="preserve">
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t>
        </r>
      </text>
    </comment>
    <comment ref="D17" authorId="0" shapeId="0">
      <text>
        <r>
          <rPr>
            <b/>
            <sz val="9"/>
            <color indexed="81"/>
            <rFont val="Tahoma"/>
            <family val="2"/>
          </rPr>
          <t>TSU:</t>
        </r>
        <r>
          <rPr>
            <sz val="9"/>
            <color indexed="81"/>
            <rFont val="Tahoma"/>
            <family val="2"/>
          </rPr>
          <t xml:space="preserve">
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r>
      </text>
    </comment>
    <comment ref="B18" authorId="0" shapeId="0">
      <text>
        <r>
          <rPr>
            <b/>
            <sz val="9"/>
            <color indexed="81"/>
            <rFont val="Tahoma"/>
            <family val="2"/>
          </rPr>
          <t>TSU:</t>
        </r>
        <r>
          <rPr>
            <sz val="9"/>
            <color indexed="81"/>
            <rFont val="Tahoma"/>
            <family val="2"/>
          </rPr>
          <t xml:space="preserve">
รับ20/7/2558</t>
        </r>
      </text>
    </comment>
    <comment ref="D18" authorId="0" shapeId="0">
      <text>
        <r>
          <rPr>
            <b/>
            <sz val="9"/>
            <color indexed="81"/>
            <rFont val="Tahoma"/>
            <family val="2"/>
          </rPr>
          <t>TSU:</t>
        </r>
        <r>
          <rPr>
            <sz val="9"/>
            <color indexed="81"/>
            <rFont val="Tahoma"/>
            <family val="2"/>
          </rPr>
          <t xml:space="preserve">
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r>
      </text>
    </comment>
  </commentList>
</comments>
</file>

<file path=xl/sharedStrings.xml><?xml version="1.0" encoding="utf-8"?>
<sst xmlns="http://schemas.openxmlformats.org/spreadsheetml/2006/main" count="8075" uniqueCount="3677">
  <si>
    <t>ทะเบียนคุมเงินทุนวิจัยภายนอก ปีงบประมาณ 2559</t>
  </si>
  <si>
    <t>วันที่รับเงิน</t>
  </si>
  <si>
    <t>เลขที่ใบเสร็จ</t>
  </si>
  <si>
    <t>หน่วยงาน</t>
  </si>
  <si>
    <t>จำนวนเงิน</t>
  </si>
  <si>
    <t>งบประมาณจัดสรร</t>
  </si>
  <si>
    <t>เอกสารการเบิกจ่าย</t>
  </si>
  <si>
    <t>งบประมาณคงเหลือ</t>
  </si>
  <si>
    <t>งบดำเนินงาน</t>
  </si>
  <si>
    <t>กองทุนวิจัย</t>
  </si>
  <si>
    <t>รายละเอียดโครงการ</t>
  </si>
  <si>
    <t>-</t>
  </si>
  <si>
    <t>PR2-2559:1/1</t>
  </si>
  <si>
    <t>คณะเทคโนฯ</t>
  </si>
  <si>
    <t>ทุน อาภรณ์ส่งแสง การศึกษาระบบการเลี้ยงควายในพื้นที่อนุรักษ์(ทะเลน้อย)</t>
  </si>
  <si>
    <t>PL2-2559:1/1</t>
  </si>
  <si>
    <t>คณะเศรษฐศาสตร์</t>
  </si>
  <si>
    <t>สำรวจความพึงพอใจของประชาชนที่มีผลต่อองค์ปกครองส่วนท้องถิ่น-สูธรรม ขนาบศักดิ์</t>
  </si>
  <si>
    <t>PR2-2559:1/9</t>
  </si>
  <si>
    <t>คณะศึกษาศาสตร์</t>
  </si>
  <si>
    <t>ค่าบำรุงสถาบัน(งวดพิเศษก) การเรียนรู้และปรับตัวเพื่อนการดำรงอยู่ในวิถีเมืองเสี่ยงภัย</t>
  </si>
  <si>
    <t>PL2-2559:1/10</t>
  </si>
  <si>
    <t>คณะวิทยาศาสตร์</t>
  </si>
  <si>
    <t>การจัดการของเสียอินทรีย์ด้วยระบบหมักฯ</t>
  </si>
  <si>
    <t>PR2-2559:1/14</t>
  </si>
  <si>
    <t>PR2-2559:1/18-19</t>
  </si>
  <si>
    <t>PR2-2559:1/29</t>
  </si>
  <si>
    <t>PR2-2559:1/45</t>
  </si>
  <si>
    <t>PR2-2559:2/7</t>
  </si>
  <si>
    <t>โครงการวิจัยพัฒนาและวิศวกรรม เรื่องการจำกัดต้นกงในทะเล -ผศ.ศิริลักษณ์ ช่วยพนัก</t>
  </si>
  <si>
    <t>PR2-2559:2/8</t>
  </si>
  <si>
    <t>โครงการวิจัยพัฒนาและวิศวกรรม เรื่องการเปรียบเทียบผลเฉลยของแบบจำลองฯ-อ.จันทวรรณ น้อยศรี</t>
  </si>
  <si>
    <t>PR2-2559:2/11</t>
  </si>
  <si>
    <t>คณะมนุษยศาสตร์</t>
  </si>
  <si>
    <t>ดำเนินการสำรวจระดับความพึงพอใจของผู้ใช้บริการรถไฟในปี58-อ.ดร.อรพิน บุญสิน</t>
  </si>
  <si>
    <t>ศธ.64.26/0061</t>
  </si>
  <si>
    <t>รายการปรับปรุง</t>
  </si>
  <si>
    <t>PR2-2559:2/15</t>
  </si>
  <si>
    <t>ค่าตอบแทนสถาบันจากโครงการ การกระจายอำนาจการศึกษาให้แก่ อป.-ผศ.ดร.เรวดี กระโหมวงศ์</t>
  </si>
  <si>
    <t>PR2-2559:2/23</t>
  </si>
  <si>
    <t>PR2-2559:2/33</t>
  </si>
  <si>
    <t xml:space="preserve">ดำเนินการสำรวจและรวบรวมผลงานวิจัยและพัฒนานวัตกรรมทางการศึกษาฯ จาก สนง.เลขาธิการสภาการศึกษา </t>
  </si>
  <si>
    <t>PR2-2559:2/36</t>
  </si>
  <si>
    <t>PR2-2559:3/32</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</si>
  <si>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โครงการนำร่องจังหวัดประชาคมปฏิรูปการเรียนรู้งวดที่3 โอนผ่านธ.กรุงไทย082-4 วันที่5/2/2559 PR2-2559:3/32(เงินทุนวิจัย=147,487.50/เข้ากองทุนวิจัย=8,193.75/เข้าคณะศึกษาศาสตร์=8,193.75)</t>
  </si>
  <si>
    <t>PR2-2559:3/41</t>
  </si>
  <si>
    <t xml:space="preserve">รับเงินโอนโครงการวิจัยชุมชน การจัดการของเสียอินทรีย์ด้วยระบบหม่อหมักก๊าซชีวภาพ รร.บ้านโตน :ผศ.ดร.อุษา อ้นทอง โอนผ่านธ.ไทยพาณิชย์220-3 วันที่27/11/58 PR2-2559:3/41เข้าทุนวิจัยภายนอก=24,948.- เข้ากองทุนวิจัย=1,386.- เข้าคณะวิทยาศาสตร์=1,386.- </t>
  </si>
  <si>
    <t>PR2-2559:3/46</t>
  </si>
  <si>
    <t>PR2-2559:4/2</t>
  </si>
  <si>
    <t>ที่ปรึกษาโครงการวิจัยเทศบาลนครสงขลา โดย รศ.ดร.พูนสุข อุดม เรื่องการสร้างและพัฒนาหลักสูตรความเป็นเลิศด้านวิทยาศาสตร์</t>
  </si>
  <si>
    <t>PR2-2559:4/11</t>
  </si>
  <si>
    <t>คณะ วสก.</t>
  </si>
  <si>
    <t>รับเงินโอนทุนวิจัยภายนอก วิจัยเรื่อง การประเมินผลโครงการภายใต้งบสร้างเสริมสุขภาพและป้องกันโรค ปี2558 จาก สนง.หลักประกันสุขภาพแห่งชาติเขต12 สงขลา เงินโอนผ่าน ธ.ไทยพาณิชย์ 220-3 วันที่24,30 มีค.59 -PR2-2559:4/11(เงินเข้ากองทุนวิจัย81,000+4500=85,500 บาท และเข้าเงินรับฝาก-คณะวสก.=4,500 บาท)</t>
  </si>
  <si>
    <t>PR2-2559:4/12</t>
  </si>
  <si>
    <t>รับเงินโอนทุนวิจัยภายนอก วิจัยเรื่อง การติดตามเยี่ยมสำรวจเพื่อการพัฒนาคุณภาพบริการปฐมภูมิฯ จาก สนง.หลักประกันสุขภาพแห่งชาติเขต12 สงขลา เงินโอนผ่าน ธ.กรุงไทย 082-4 วันที่29 มีค.59 -PR2-2559:4/12(เงินเข้ากองทุนวิจัย216,000+12,000=228,000 บาท และเข้าเงินรับฝาก-คณะวสก.=12,000 บาท)</t>
  </si>
  <si>
    <t>PR2-2559:4/44</t>
  </si>
  <si>
    <t>รับเงินโอนทุนวิจัยภายนอก วิจัยเรื่อง การคำนวณและการดูดซับโลหะหนักในน้ำฯ จาก สนง.พัฒนาวิทยาศาสตร์และเทคโนโลยี(สวทช.) เงินโอนผ่าน ธ.ไทย 626-2 วันที่12 เมย.59 -PR2-2559:4/44(เงินเข้ากองทุนวิจัย111,000+15,000=126,000 บาท และเข้าเงินรับฝาก-คณะวิทย์.=15,000 บาท)นิรมล จันทรชาติ</t>
  </si>
  <si>
    <t>PR2-2559:4/48</t>
  </si>
  <si>
    <t>รับเงินโอนทุนวิจัยภายนอก วิจัยเรื่อง การประเมินศักยภาพพลังงานลมฯงวดที่4-5 ผศ.ดร.จอมภพ แววศักดิ์ จาก สนง.คณะกรรมการวิจัยแห่งชาติ(วช.) เงินโอนผ่าน ธ.ไทยพาณิชย์ 626-0 วันที่12 พค.59 -PR2-2559:4/48(เงินเข้ากองทุนวิจัย127,512+7,084=134,596 บาท และเข้าเงินรับฝาก-คณะวิทย์.=7,084 บาท)</t>
  </si>
  <si>
    <t>PR2-2559:5/7</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</si>
  <si>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PR2-2559:5/7 ธ.กรุงไทย082-4 วันที่17/5/59 เข้าทุนวิจัยภายนอก1,226,520+25,140=1,251,600 บาท  เข้าคณะมนุษยศาสตร์=25,140 บาท</t>
  </si>
  <si>
    <t>PR2-2559:5/37</t>
  </si>
  <si>
    <t>รับเงินโอนโครงการวิจัยและนวัตกรรมเพื่อถ่ายทอดเทคโนโลยีชุมชนฐานราก ปีงบ2559 2 ทุน จากม.ราชภัฎสงขลา ของอ.สุนิสา คงประสิทธิ์=80,000 และจารุวรรณ ชูสงค์=70,000.- เงินเข้าทุนวิจัยภายนอก100% ยกเว้นค่าธรรมเนียม PR2-2559:5/37</t>
  </si>
  <si>
    <t>วิทยาลัยภูมิปัญญาชุมชน</t>
  </si>
  <si>
    <t>PR2-2559:5/40</t>
  </si>
  <si>
    <t>รับเงินโอนทุนวิจัยภายนอก วิจัยเรื่อง การจัดการเพื่อการพัฒนาชุมชนเมืองและที่อยู่อาศัยฯ จากการเคหะแห่งชาติ โดยอ.ทวนธง ครุฑจ้อน PR2-2559:5/40 (เงินเข้ากองทุนวิจัย=330,600.- เข้าคณะมนุษศาสตร์=17,400.- )</t>
  </si>
  <si>
    <t>PR2-2559:5/46</t>
  </si>
  <si>
    <t>รับเงินโอนสนับสนุนการวิจัยจากสนง.เครือข่ายอุดมศึกษาฯ เรื่องส่งเสริมวิสาหกิจขนาดกลางและขนาดย่อมโครงการที่1:โครงการจัดตั้งศูนย์บ่มเพาะวิสาหกิจโดย ผศ.ดร.อมลวรรณ วีระธรรมโม จาก ม.สงขลานครินทร์ โอนSCB626-0 วันที่24-6-59 PR2-2559:5/46 (เข้ากองทุนวิจัย=266,000.-  เข้าคณะศึกษาศาสตร์=14,000.-)</t>
  </si>
  <si>
    <t>PR2-2559:6/8-9</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</si>
  <si>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โครงการนำร่องจังหวัดประชาคมปฏิรูปการเรียนรู้งวดที่2-3 โอนผ่านธ.กรุงไทย082-4 วันที่29/7/2559 PR2-2559:6/8-9(เงินทุนวิจัย=465,750/เข้ากองทุนวิจัย=25,875/เข้าคณะศึกษาศาสตร์=25,875)</t>
  </si>
  <si>
    <t>PR2-2559:6/10</t>
  </si>
  <si>
    <t>รับเงินโอนทุนวิจัยภายนอก วิจัยเรื่อง ความเปลี่ยนแปลงและกระบวนการสร้างประชาธิปไตยในชนบท ของผศ.ดร.ณฐพงศ์ จิตรนิรัตน์ จากสำนักงานกองทุนสนับสนุนการวิจัย(สกว.) เงินตอบแทนสถาบัน(งวดพิเศษ ก)เงินโอนผ่าน ธ.กรุงไทย 082-4 วันที่07 กค.59 -PR2-2559:6/10(เงินเข้ากองทุนวิจัย76,400)</t>
  </si>
  <si>
    <t>PL2-2559:1/6</t>
  </si>
  <si>
    <t>รับเงินโอนทุนวิจัยภายนอก สำรวจความพึงพอใจของประชาชนที่มีผลต่อองค์ปกครองส่วนท้องถิ่น จาก อบต.บ้านตูลโดยสุธรรม ขนาบศักดิ์ PL2-2559:1/6 ธ.กรุงไทย082-4 วันที่2/8/59 เข้าทุนวิจัยภายนอก22,500+1,250=23,750 บาท  เข้าคณะเศรษฐศาสตร์=1,250 บาท</t>
  </si>
  <si>
    <t>PR2-2559:6/26</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</si>
  <si>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PR2-2559:6/26 ธ.กรุงไทย082-4 วันที่15/8/59 เข้าทุนวิจัยภายนอก 96,000 บาท  เข้าคณะมนุษยศาสตร์=0.00 บาท</t>
  </si>
  <si>
    <t>PR2-2559:6/37</t>
  </si>
  <si>
    <t>สถาบันปฏิบัติการชุมชนเพื่อการศึกษาฯ</t>
  </si>
  <si>
    <t>รับเงินโอนทุนวิจัยภายนอก ทุนอุดหนุนการทำกิจกรรมส่งเสริมและสนับสนุนการวิจัย จากสำนักงานคณะกรรมการการวิจัยแห่งชาติ โดยอ.ดร.ทวีเดช  ไชยนาพงษ์ PR2-2559:6/37 โอนผ่านธ.กรุงไทย082-4 วันที่30/8/59 เข้าทุนวิจัยภายนอก 28,500 บาท  เข้าสถาบันปฏิบัติการชุมชนเพื่อการศึกษาฯ=28,500.00 บาท</t>
  </si>
  <si>
    <t>PL2-2559:1/8</t>
  </si>
  <si>
    <t>รับเช็คเลขที่10012957 ธ.กรุงไทย เป็นเงินทุนวิจัยภายนอก สำรวจความพึงพอใจของประชาชนที่มีผลต่อองค์ปกครองส่วนท้องถิ่น จาก อบต.คลองแดน โดยสุธรรม ขนาบศักดิ์ PL2-2559:1/8 เข้าทุนวิจัยภายนอก18,000+1,000=19,000 บาท  เข้าคณะเศรษฐศาสตร์=1,000 บาท</t>
  </si>
  <si>
    <t>รับเงินโอนทุนวิจัยภายนอก ทุนอุดหนุนการวิจัยส่งเสริมและสนับสนุนการวิจัยที่มุ่งเป้าด้านพลาสติกชีวภาพ จากสำนักงานพัฒนาเศรษฐกิจจากฐานชีวภาพ โดยอ.ดร.นันทรัตน์ พฤกษาพิทักษ์ PR2-2559:7/2 โอนผ่าน SCB220-3 วันที่22/9/59 เข้าทุนวิจัยภายนอก 191,420.25 บาท  เข้าคณะเศรษฐศาสตร์=10,074.75 บาท</t>
  </si>
  <si>
    <t>รับเงินโอนทุนวิจัยภายนอก สำรวจความพึงพอใจของประชาชนที่มีผลต่อองค์ปกครองส่วนท้องถิ่น จาก อบต.ท่าศาลาและ เทศบาลโคกม่วง โดยสุธรรม ขนาบศักดิ์ PR2-2559:7/7-8 KTB082-4 วันที่22/9/59 และSCB220-3 วันที่27,28/9/59 เข้าทุนวิจัยภายนอก40,500+2,250=42,750 บาท  เข้าคณะเศรษฐศาสตร์=2,250 บาท</t>
  </si>
  <si>
    <t>รับเงินโอนทุนวิจัยภายนอก สำรวจความพึงพอใจของประชาชนที่มีผลต่อองค์ปกครองส่วนท้องถิ่น จาก 5 อบต. โดยสุธรรม ขนาบศักดิ์ PL2-2559:1/9 KTB082-4 วันที่27/9/59 เข้าทุนวิจัยภายนอก90,000+5,000=95,000 บาท  เข้าคณะเศรษฐศาสตร์=5,000 บาท</t>
  </si>
  <si>
    <t>รับเงินโอนทุนวิจัยภายนอก จ้างที่ปรึกษาดำเนินการศึกษาเรื่องแนวโน้มความต้องการกำลังคนของตลาดแรงงานฯ จาก สนง.เลขาธิการสภาการศึกษาโดย รศ.ดร.นิรันดร์ จุลทรัพย์ PR2-2559:7/11 ธ.กรุงไทย082-4 วันที่19/9/59 เข้าทุนวิจัยภายนอก51,300+2,850=54,150 บาท  เข้าคณะศึกษาศาสตร์=2,850 บาท</t>
  </si>
  <si>
    <t>แผนงาน</t>
  </si>
  <si>
    <t>บริหารจัดการทั่วไปกองทุน/บริหารจัดการทั่วไป-กองทุนวิจัย 54020100</t>
  </si>
  <si>
    <t>สถาบันวิจัยและพัฒนา 011100000</t>
  </si>
  <si>
    <t>กองทุน</t>
  </si>
  <si>
    <t>กองทุนวิจัยมหาวิทยาลัยทักษิณ 080100</t>
  </si>
  <si>
    <t>รายการ</t>
  </si>
  <si>
    <t>กองทุนวิจัยมหาวิทยาลัยทักษิณ</t>
  </si>
  <si>
    <t>รหัสบัญชี</t>
  </si>
  <si>
    <t>21060801010005</t>
  </si>
  <si>
    <t>ทะเบียนคุมเงินทุนวิจัยภายนอก ปีงบประมาณ 2560</t>
  </si>
  <si>
    <t>ชื่อผู้รับทุน</t>
  </si>
  <si>
    <t>บัญรับโอนเงิน
 เข้าบัญชีธนาคาร</t>
  </si>
  <si>
    <t>จัดสรรเข้ากองทุนวิจัย</t>
  </si>
  <si>
    <t>เงินรับฝาก
(หน่วยงาน)</t>
  </si>
  <si>
    <t>ตอบแทนกองทุนวิจัย</t>
  </si>
  <si>
    <t>กองทุนวิจัย(ให้แก่นักวิจัย)</t>
  </si>
  <si>
    <t>เงินรับฝาก(หน่วยงานสังกัดพัทลุง)</t>
  </si>
  <si>
    <t>ตอบแทน
กองทุนวิจัย</t>
  </si>
  <si>
    <t>กองทุนวิจัย
(ให้แก่นักวิจัย)</t>
  </si>
  <si>
    <t>จ่ายให้แก่นักวิจัย</t>
  </si>
  <si>
    <t>เลขที่เอกสารจ่าย</t>
  </si>
  <si>
    <t>อาจารย์ อัศว์ศิริ ลาปีอี</t>
  </si>
  <si>
    <t>ทุนอุดหนุนการทำวิจัยตามสัญญาเลขที่ 59-01-05 จากศูนย์วิจัยและจัดการความรู้เพื่อการควบคุมยาสูบ (ศจย.) เรื่อง ความสัมพันธ์ระหว่างการรับรู้และอิทธิพลจากสื่อกับการปรับเปลี่ยนพฤติกรรมการสูบบุหรี่ของเยาวชนในระดับอาชีวศึกษาพื้นที่สามจังหวัดชายแดนภาคใต้ (งบประมาณรวม 400,000.00 บาท)</t>
  </si>
  <si>
    <t>คณะมนุษยศาสตร์และสังคมศาสตร์/สาขารัฐประศาสนศาสตร์และการจัดการทรัพยากรมนุษย์</t>
  </si>
  <si>
    <t>PR2-2560:1/7</t>
  </si>
  <si>
    <t>SCB 405-658626-0</t>
  </si>
  <si>
    <t>รศ.ดร.พูนสุข อุดม</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</si>
  <si>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2</t>
  </si>
  <si>
    <t>PR2-2560:1/10</t>
  </si>
  <si>
    <t>AP01110000060100001</t>
  </si>
  <si>
    <t>ผู้ช่วยศาสตราจารย์สุธรรม ขนาบศักดิ์</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</si>
  <si>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27 หน่วยงาน (ตามเอกสาร S1449/01-14,S1449/16-22,S1449/27-30,S1449/32-33)</t>
  </si>
  <si>
    <t>คณะเศรษฐศาสตร์และบริหารธุรกิจ</t>
  </si>
  <si>
    <t>PR2-2560:1/19</t>
  </si>
  <si>
    <t>KTB 982-6-53082-4</t>
  </si>
  <si>
    <t>AP01110000060100013</t>
  </si>
  <si>
    <t>อาจารย์ ทวนธง ครุฑจ้อน</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</si>
  <si>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2</t>
  </si>
  <si>
    <t>PR2-2560:1/24</t>
  </si>
  <si>
    <t>AP01110000060110007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</si>
  <si>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14 หน่วยงาน (ตามเอกสาร 0631/01-0631/3,0631/5-0631/13,0631/16-0631/19)</t>
  </si>
  <si>
    <t>PR2-2560:1/25</t>
  </si>
  <si>
    <t>AP01110000060110010</t>
  </si>
  <si>
    <t>อ.ดร.พินิจ ดวงจินดา</t>
  </si>
  <si>
    <t>สัญญาจ้างเลขที่ 1/2560 จากองค์การบริหารส่วนตำบลนาเกตุ ตำบลนาเกตุ อำเภอโคกโพธิ์ จังหวัดปัตตานี ได้ว่าจ้างให้ทำการประเมินประสิทธิภาพและประสิทธิผลการปฏิบัติราชการ สำรวจความพึงพอใจของผู้บริหาร ตามคำรับรองการปฏิบัติราชการ ประจำปีงบประมาณ 2559 ในตัวชี้วัดที่ 1 มิติที่ 2 ด้านคุณภาพการให้บริการขององค์การบริหารส่วนตำบลนาเกตุ อำเภอโคกโพธิ์ จังหวัดปัตตานี (ตามเอกสาร 0642/1  และ 0642/2)</t>
  </si>
  <si>
    <t>PL2-2560:1/2</t>
  </si>
  <si>
    <t>AP01110000060110014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</si>
  <si>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9หน่วยงาน (ตามเอกสาร S1499/34 - S1499/42)</t>
  </si>
  <si>
    <t>PR2-2560:1/33</t>
  </si>
  <si>
    <t>AP01110000060110024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</si>
  <si>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19หน่วยงาน (ตามเอกสาร 0593/2-3,0593/5-8,0593/10-12,0593/15-16,0593/18,0593/21-24,0593/27-28,0593/31)</t>
  </si>
  <si>
    <t>PL2-2560:1/3</t>
  </si>
  <si>
    <t>AP01110000060120003</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</si>
  <si>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16หน่วยงาน (ตามเอกสาร 0630/3-4,0630/6,0630/8,0630/10,0630/12,0630/16-18,0630/20,0631/20-24,0631/27)</t>
  </si>
  <si>
    <t>PL2-2560:1/4</t>
  </si>
  <si>
    <t>AP01110000060120004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</si>
  <si>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22หน่วยงาน (ตามเอกสาร 0593/1,0593/4,0593/9,0593/13,0593/17,0593/19-20,0593/25,0593/29-30,0593/32,0631/4,0631/15,0631/25,0630/1,0630/5,0630/9,0630/11,0630/13-15,0630/19)</t>
  </si>
  <si>
    <t>PL2-2560:1/5</t>
  </si>
  <si>
    <t>AP01110000060120007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</si>
  <si>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0630/2)</t>
  </si>
  <si>
    <t>PL2-2560:1/6</t>
  </si>
  <si>
    <t>AP01110000060120030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</si>
  <si>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7หน่วยงาน (ตามเอกสาร 0630/7,S1499/43-48)</t>
  </si>
  <si>
    <t>PL2-2560:1/7</t>
  </si>
  <si>
    <t>AP01110000060120037</t>
  </si>
  <si>
    <t>ธนาคารไทยพาณิชย์ จำกัด (มหาชน)</t>
  </si>
  <si>
    <t>บันทึกรายการรับดอกเบี้ยครึ่งปีหลังของปี2559</t>
  </si>
  <si>
    <t>สถาบันวิจัยและพัฒนา</t>
  </si>
  <si>
    <t>ธนาคารกรุงไทย จำกัด (มหาชน)</t>
  </si>
  <si>
    <t>รศ.ดร.ปุญญพัฒน์ ไชยเมลล์</t>
  </si>
  <si>
    <t>ข้อตกลงเลขที่ 59A00589 ลว.28/03/2559 เพื่อรับงบประมาณสนับสนุนการวิจัยจากสำนักงานหลักประกันสุขภาพแห่งชาติ เขต 12 สงขลา โครงการการติดตามเยี่ยมสำรวจเพื่อการพัฒนาคุณภาพบริการปฐมภูมิ ตามตัวชี้วัดเกณฑ์คุณภาพและผลงานบริการปฐมภูมิ งวดที่ 2 (ทุนสนับสนุนรวม 300,000 บาท)</t>
  </si>
  <si>
    <t>คณะวิทยาการสุขภาพและการกีฬา</t>
  </si>
  <si>
    <t>PR2-2560:2/15</t>
  </si>
  <si>
    <t>AP01110000060010010</t>
  </si>
  <si>
    <t>ดร.อรพินท์ บุญสิน</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</si>
  <si>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1</t>
  </si>
  <si>
    <t>คณะมนุษยศาสตร์และสังคมศาสตร์</t>
  </si>
  <si>
    <t>PR2-2560:2/18</t>
  </si>
  <si>
    <t>AP01110000060010039</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</si>
  <si>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4หน่วยงาน (ตามเอกสาร 0631/28-29 , 0631/31-32)</t>
  </si>
  <si>
    <t>PL2-2560:1/8</t>
  </si>
  <si>
    <t>AP01110000060010027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</si>
  <si>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2หน่วยงาน (ตามเอกสาร 0631/30 , 0631/33)</t>
  </si>
  <si>
    <t>PR2-2560:3/4</t>
  </si>
  <si>
    <t>AP01110000060020025</t>
  </si>
  <si>
    <t>อ.ดร.นันทรัตน์ พฤกษาพิทักษ์</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</si>
  <si>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2</t>
  </si>
  <si>
    <t>PR2-2560:3/5</t>
  </si>
  <si>
    <t>SCB 403-487220-3</t>
  </si>
  <si>
    <t>AP01110000060030007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</si>
  <si>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S-1499/49)</t>
  </si>
  <si>
    <t>PL2-2560:1/9</t>
  </si>
  <si>
    <t>AP0111000060030022</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</si>
  <si>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2</t>
  </si>
  <si>
    <t>PR2-2560:3/30</t>
  </si>
  <si>
    <t>AP01110000060030034</t>
  </si>
  <si>
    <t>อาจารย์ ดร.ทวีเดช ไชยนาพงษ์</t>
  </si>
  <si>
    <t>เงินค่าธรรมเนียม ร้อยละ 10 ตามระเบียบคณะกรรมการการเงินและทรัพย์สิน ว่าด้วยการบริหารจัดการทุนอุดหนุนการวิจัยจากแหล่งทุนภายนอก พ.ศ.2557 โดยคำนวณจากยอดเงินสนับสนุนการวิจัยประจำปี 2559 เรื่อง ผลิตภัณฑ์มูลค่าเพิ่มจากสวนผลไม้โดยใช้กรีนเทคโนโลยี กรณีศึกษาสวนผลไม้ชุมชนตำบลหนองธง อ.ป่าบอน จังหวัดพัทลุง (ทุนวิจัยรวม 2,000,000.00 บาท ซึ่งงวดที่ 1 ยอดรับ 570,000 บาท งวดที่ 2 ยอดรับ 760,000 บาท)</t>
  </si>
  <si>
    <t>สถาบันปฏิบัติการชุมชนเพื่อการศึกษาแบบบูรณาการ</t>
  </si>
  <si>
    <t>PR2-2560:3/34</t>
  </si>
  <si>
    <t>ผู้ช่วยศาสตราจารย์ ดร.อมลวรรณ วีระธรรมโม</t>
  </si>
  <si>
    <t>ทุนอุดหนุนการวิจัยจากสำนักงานเครือข่ายอุดมศึกษาภาคใต้ตอนล่าง โครงการการพัฒนาศักยภาพครูและนักเรียนในระดับประถมศึกษาให้มีทักษะศตวรรษที่ 21 และส่งเสริมคุณธรรมจริยธรรมผ่านกิจกรรมลดเวลาเรียนเพิ่มเวลารู้ ในสถานศึกษาระดับประถมศึกษา จังหวัดสงขลา โดยใช้กระบวนการสอนงานและเป็นพี่เลี้ยง วงเงินทั้งหมด 900,000.00 บาท</t>
  </si>
  <si>
    <t>PR2-2560:3/44</t>
  </si>
  <si>
    <t>AP01110000060040012</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</si>
  <si>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1 เป็นเงิน 360,000.00 บาท แต่หักค่าประกันผลงานไว้ 5% จากเงินที่ได้รับในแต่ละงวด</t>
  </si>
  <si>
    <t>PR2-2560:3/45</t>
  </si>
  <si>
    <t>AP01110000060040013</t>
  </si>
  <si>
    <t>ผศ.ดร.สมพงศ์ โอทอง</t>
  </si>
  <si>
    <t>สัญญาเลขที่ b3/2560 สัญญารับทุนอุดหนุนการวิจัยและพัฒนาภาครัฐร่วมเอกชนในเชิงพาณิชย์ ประจำปีงบประมาณ พ.ศ.2560 ของสำนักงานคณะกรรมการอุดมศึกษา โดยผู้ให้ทุนสนับสนุนการทำวิจัย เรื่อง การพัฒนาผลิตภัณฑ์ชีวบำบัดภัณฑ์จากแบคทีเรียเพื่อทำความสะอาดพื้นที่ปนเบื้อนน้ำมันและไขมัน จากผู้ให้ทุนที่ 1 เครือข่ายบริหารการวิจัยภาคใต้ตอนล่าง-โครงการวิจัยรัฐร่วมเอกชนในเชิงพาณิชย์(สำนักวิจัยและพัฒนา มหาวิทยาลัยสงขลานครินทร์) วงเงิน 490,000.00 บาท และจากผู้ให้ทุนที่ 2 ห้างหุ้นส่วนจำกัด ไวท์บ๊อกซ์โซลูชั่นส์ 2011 สนับสนุนทุนวิจัย 210,000.00 บาท รวมวงเงินตามสัญญา 700,000.00 บาท</t>
  </si>
  <si>
    <t>PR2-2560:3/48</t>
  </si>
  <si>
    <t>AP01110000060040020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</si>
  <si>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S-1499/50)</t>
  </si>
  <si>
    <t>PR2-2560:4/8</t>
  </si>
  <si>
    <t>AP01110000060040028</t>
  </si>
  <si>
    <t>ผศ.ดร.อมลวรรณ วีระธรรมโม</t>
  </si>
  <si>
    <t>เงินสนับสนุนการวิจัยจากงบบริหารจัดการโครงการผลิตครูที่มีความสามารถเศษทางด้านวิทยาศาสตร์และคณิตศาสตร์ (นำส่งเพียงยอดค่าธรรมเนียมทุนวิจัยภายนอกร้อยละ 10 จากยอดรับ 100,000.00 บาท) โดยเอกสารอ้างอิงเกี่ยวกับรายการนี้เริ่มจากนำส่งเงินเข้าเงินรับฝาก-โครงการ สควค. คณะศึกษาศาสตร์ ด้วยยอด 100,000.00 บาท (จากการรับตามใบเสร็จ SL2-2560:1/28 ลว.18/10/2559) พร้อมเบิกจ่ายทั้งก้อนไปด้วยยอดเงิน 100,000.00 บาท (ตามเอกสาร AP01020000160100002) ภายหลังตรวจสอบพบว่าเป็นรายการทุนวิจัยภายนอกจึงเบิกเต็มจำนวนไม่ได้โดยขอให้นักวิจัยคืนเงิน 10% (โดยเอกสารอ้างอิง RV00300000560050120 เลขที่ใบเสร็จ SL2-2560:9/32) ทั้งนี้ได้ปรับปรุงตามบันทึกของสถาบันวิจัยให้ถูกต้องตามบัญชีโดยขอปรับจากบัญชีเงินรับฝาก-โครงการ สควค. คณะศึกษาศาสตร์ 10,000 บาท (ลดยอดบัญชีด้วย JV01100200360050103) และแบ่ง 50% ให้แก่บัญชีกองทุนวิจัยมหาวิทยาลัยทักษิณ 5,000 บาท(เอกสารปรับปรุง JV01100200360050104) กับบัญชีเงินรับฝาก-คณะศึกษาศาสตร์ด้วยยอด 5,000 บาท(เอกสารปรับปรุง JV01100200360050103)</t>
  </si>
  <si>
    <t>SL2-2560:1/28,JV01100200360050104</t>
  </si>
  <si>
    <t>SCB 691-235949-4 (สาขาสามแยกสำโรง)</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</si>
  <si>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3</t>
  </si>
  <si>
    <t>PR2-2560:4/26</t>
  </si>
  <si>
    <t>AP01110000060050025</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</si>
  <si>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ขององค์การบริหารส่วนตำบลควนรู (ตามเอกสารใบนำส่งเงิน เล่มที่ 0714 เลขที่ 1)</t>
  </si>
  <si>
    <t>PR2-2560:4/45</t>
  </si>
  <si>
    <t>AP01110000060060012</t>
  </si>
  <si>
    <t>ผศ.ดร.ศิริลักษณ์ ช่วยพนัง</t>
  </si>
  <si>
    <t>ทุนอุดหนุนดำเนินการวิจัยตามโครงการวิจัยพัฒนาและวิศวกรรมเรื่อง การกำจัดต้นกงในทะเลน้อยโดยการผลิตก๊าซชีวภาพด้วยระบบหมักแบบไร้อากาศ งวดที่ 2 งบประมาณทั้งโครงการ 250,000 บาท</t>
  </si>
  <si>
    <t>PR2-2560:5/3</t>
  </si>
  <si>
    <t>KTB 981-2-81043-9</t>
  </si>
  <si>
    <t>AP01110000060060028</t>
  </si>
  <si>
    <t>อ.ดร.นิรมล จันทรชาติ</t>
  </si>
  <si>
    <t>ทุนอุดหนุนดำเนินการวิจัยตามโครงการวิจัยพัฒนาและวิศวกรรมเรื่อง การคำนวณและการดูดซับโลหะหนักในน้ำ โดยใช้โครงสร้างคอนเดนส์แทนนินในวัสดุธรรมชาติเป็นตัวดูดซับ งวดที่ 2 งบประมาณทั้งโครงการ 250,000 บาท</t>
  </si>
  <si>
    <t>PR2-2560:5/7</t>
  </si>
  <si>
    <t>AP01110000060070001</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</si>
  <si>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3</t>
  </si>
  <si>
    <t>PR2-2560:5/27</t>
  </si>
  <si>
    <t>AP01110000060070033</t>
  </si>
  <si>
    <t>รศ.ดร.นิรันดร์ จุลทรัพย์</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</si>
  <si>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2 แบ่งจ่าย 30% จากรายรับทั้งหมดเป็นเงิน 60,000 บาทแต่หักค่าประกันผลงานไว้ 5% จากยอดเงินงวด</t>
  </si>
  <si>
    <t>PR2-2560:5/28</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</si>
  <si>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2 เป็นเงิน 600,000.00 บาท แต่หักค่าประกันผลงานไว้ 5% จากเงินที่ได้รับในแต่ละงวด</t>
  </si>
  <si>
    <t>PR2-2560:5/34</t>
  </si>
  <si>
    <t>AP01110000060080017</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</si>
  <si>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3</t>
  </si>
  <si>
    <t>PR2-2560:5/43</t>
  </si>
  <si>
    <t>AP01110000060080032</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</si>
  <si>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4</t>
  </si>
  <si>
    <t>PR2-2560:6/30</t>
  </si>
  <si>
    <t>AP01110000060090058</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</si>
  <si>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3/1</t>
  </si>
  <si>
    <t>PR2-2560:6/28</t>
  </si>
  <si>
    <t>AP01110000060090059</t>
  </si>
  <si>
    <t>PR2-2560:6/31</t>
  </si>
  <si>
    <t>- เงินรับจาก หจก.ไวท์บ็อกซ์โซลูชั่น2011 ค่าครุภัณฑ์ 2 รายการ</t>
  </si>
  <si>
    <t>1. ถังปฏิกรณ์เพาะเลี้ยงจุลินทรีย์ขนาด 500 ลิตร มูลค่า 130,000 บ.</t>
  </si>
  <si>
    <t>2. เครื่องเก็บภายใต้สูญญากาศ มูลค่า 80,000 บ.</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</si>
  <si>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3 แบ่งจ่าย 40% จากรายรับทั้งหมดเป็นเงิน 80,000 บาทแต่หักค่าประกันผลงานไว้ 5% จากยอดเงินงวด</t>
  </si>
  <si>
    <t>PR2-2560:6/32</t>
  </si>
  <si>
    <t>AP01110000060090062</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</si>
  <si>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6,000 บาท ค่าประกันผลงานงวดที่ 1 = 3,000 บ. งวดที่ 2 = 3,000 บ. งวดที่ 3 = 4,000 บ.</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</si>
  <si>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4</t>
  </si>
  <si>
    <t>PR2-2560:6/36</t>
  </si>
  <si>
    <t>AP011100000600900066</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</si>
  <si>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6 หน่วยงาน (ตามเอกสาร 0714/2-6, 0714/8)</t>
  </si>
  <si>
    <t>PL2-2560:1/17</t>
  </si>
  <si>
    <t>AP01110000061100007</t>
  </si>
  <si>
    <t>มหาวิทยาลัยทักษิณ วิทยาเขตพัทลุง</t>
  </si>
  <si>
    <t>รายละเอียดเงินรับรายได้ประเภททุนสนับสนุนเพื่อการวิจัย</t>
  </si>
  <si>
    <t>สำหรับปีงบประมาณ 2561  ระยะเวลาดำเนินการ 1  ตุลาคม 2560  สิ้นสุด 30 กันยายน 2561</t>
  </si>
  <si>
    <t>ลำดับ
ที่</t>
  </si>
  <si>
    <t>ข้อมูลการรับเงิน</t>
  </si>
  <si>
    <t>ค่าธรรมเนียมการวิจัย ตามระเบียบฯว่าด้วย การบริหารจัดการทุนอุดหนุน
การวิจัยจากแหล่งทุนภายนอก พ.ศ. 2557</t>
  </si>
  <si>
    <t>จัดสรรเป็น
ยอดเงินเบิกจ่าย
เพื่อการวิจัย</t>
  </si>
  <si>
    <t>วันที่</t>
  </si>
  <si>
    <t>เลขที่ใบสำคัญ</t>
  </si>
  <si>
    <t>ชื่อ-สกุล (นักวิจัย)</t>
  </si>
  <si>
    <t>หน่วยงานที่สังกัด</t>
  </si>
  <si>
    <t>รับจากหน่วยงาน</t>
  </si>
  <si>
    <t>คำอธิบายรายการ</t>
  </si>
  <si>
    <t>จำนวนเงินรับ
(100%)</t>
  </si>
  <si>
    <t>กรณีแหล่งทุนให้หักค่าธรรมเนียม
ตามระเบียบมหาวิทยาลัย
(10%จากยอดรับทั้งหมด)</t>
  </si>
  <si>
    <t>กรณีแหล่งทุนมีเงื่อนไขพิเศษอื่น ๆ
(อาทิเช่น ยกเว้นการหักค่าธรรมเนียม/
ระบุจำนวนเงินที่บำรุงมหาวิทยาลัย)</t>
  </si>
  <si>
    <t xml:space="preserve">จัดสรรให้แก่
กองทุนวิจัย
ม. ทักษิณ
</t>
  </si>
  <si>
    <t xml:space="preserve">จัดสรรให้แก่สำนักงาน/คณะ/
สาขาของนักวิจัย
</t>
  </si>
  <si>
    <r>
      <rPr>
        <b/>
        <u/>
        <sz val="13"/>
        <color theme="1"/>
        <rFont val="TH SarabunPSK"/>
        <family val="2"/>
      </rPr>
      <t>ยกเว้น</t>
    </r>
    <r>
      <rPr>
        <b/>
        <sz val="13"/>
        <color theme="1"/>
        <rFont val="TH SarabunPSK"/>
        <family val="2"/>
      </rPr>
      <t xml:space="preserve">
ค่าธรรมเนียม
การวิจัย</t>
    </r>
  </si>
  <si>
    <t>สำนักงานมหาวิทยาลัย - วิทยาเขตสงขลา</t>
  </si>
  <si>
    <t>12/10/2560</t>
  </si>
  <si>
    <t>PR2-2561:1/9</t>
  </si>
  <si>
    <t>RV02050200361100151
RV02050200361100148</t>
  </si>
  <si>
    <t>องค์กรปกครองส่วนท้องถิ่น
จำนวน 20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</si>
  <si>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</si>
  <si>
    <t>16/10/2560</t>
  </si>
  <si>
    <t>PR2-2561:1/10</t>
  </si>
  <si>
    <t>RV02050200361100152
RV02050200361100153</t>
  </si>
  <si>
    <t>องค์กรปกครองส่วนท้องถิ่น
จำนวน 12 หน่วยงาน</t>
  </si>
  <si>
    <t>24/10/2560</t>
  </si>
  <si>
    <t>PR2-2560:1/18</t>
  </si>
  <si>
    <t>RV02050200361100204
RV02050200361100205</t>
  </si>
  <si>
    <t>อ.ดร.จิดาภา สุวรรณฤกษ์</t>
  </si>
  <si>
    <t>วิทยาลัยนานาชาติ</t>
  </si>
  <si>
    <t>วัดพุทธาราม กรุงลอนดอน สหราชอาณาจักร</t>
  </si>
  <si>
    <r>
      <t xml:space="preserve">ตามหนังสือส่วนงาน วิทยาลัยนานาชาติ 
ที่ ศธ 64.114/0590 เรื่อง ขอนำส่งเงิน
ค่าธรรมเนียมการวิจัย จากการดำเนินการ
วิจัยเรื่อง Model of continuing
Education and Learning Resources 
Management for Buddha ram 
Temple in Development of Human
Resources and Sustainability of Thai
Arts, Culture and Local Wisdom
among Thai Buddhists in the Unites
kingdom รูปแบบการจัดการศึกษาต่อเนื่อง
และแหล่งเรียนรู้ในวัดพุทธารามเพื่อส่งเสริม
การพัฒนาทรัพยากรมนุษย์ ด้านทำนุบำรุง
ศิลปวัฒนธรรมไทย ภูมิปัญญาท้องถิ่นในกับ
พุทธศาสนิกชนไทยในสหราชอาณาจักร 
</t>
    </r>
    <r>
      <rPr>
        <b/>
        <sz val="13"/>
        <color theme="1"/>
        <rFont val="TH SarabunPSK"/>
        <family val="2"/>
      </rPr>
      <t>(งบประมาณสนับสนุน 300,000 บาท)</t>
    </r>
  </si>
  <si>
    <t>30/10/2560</t>
  </si>
  <si>
    <t>PL2-2561:1/1</t>
  </si>
  <si>
    <t>RV02050200361100227
RV02050200361100228</t>
  </si>
  <si>
    <t>องค์กรปกครองส่วนท้องถิ่น
จำนวน 4 หน่วยงาน</t>
  </si>
  <si>
    <t>06/11/2560</t>
  </si>
  <si>
    <t>PL2-2561:1/2</t>
  </si>
  <si>
    <t>RV02050200361110070
RV02050200361110071</t>
  </si>
  <si>
    <t>PL2-2561:1/5</t>
  </si>
  <si>
    <t>RV02050200361110216
RV02050200361110217</t>
  </si>
  <si>
    <t>องค์กรปกครองส่วนท้องถิ่น
จำนวน 15 หน่วยงาน</t>
  </si>
  <si>
    <t>24/11/2560</t>
  </si>
  <si>
    <t>PL2-2561:1/4</t>
  </si>
  <si>
    <t>RV02050200361110218
RV02050200361110219</t>
  </si>
  <si>
    <t>องค์กรปกครองส่วนท้องถิ่น
จำนวน 24 หน่วยงาน</t>
  </si>
  <si>
    <t>PL2-2561:1/3</t>
  </si>
  <si>
    <t>RV02050200361110220
RV02050200361110221</t>
  </si>
  <si>
    <t>อาจารย์ ดร.พินิจ ดวงจินดา</t>
  </si>
  <si>
    <t>องค์กรปกครองส่วนท้องถิ่น
จำนวน 2 หน่วยงาน</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</si>
  <si>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พ.ศ.2560 </t>
  </si>
  <si>
    <t>PR2-2561:1/30</t>
  </si>
  <si>
    <t>RV02050200361110222</t>
  </si>
  <si>
    <t>อาจารย์ ชิโนรส รุ่งสกุล</t>
  </si>
  <si>
    <t>คณะศิลปกรรมศาสตร์</t>
  </si>
  <si>
    <t>มหาวิทยาลัยสงขลานครินทร์</t>
  </si>
  <si>
    <r>
      <t xml:space="preserve">สัญญาเลขที่ CE02/2560 สัญญารับทุน
เพื่อดำเนินโครงการ Innovation 
Hub-Creative Economy เพื่อสร้าง
เศรษฐกิจฐานนวัตกรรมของประเทศตาม
นโยบายประเทศไทย 4.0 โดยสนับสนุน
การวิจัยเรื่อง พัฒนาใบไม้สีทองให้สามารถ
นำไปผลิตเป็นกระเป๋าได้ งวดที่ 1 
</t>
    </r>
    <r>
      <rPr>
        <b/>
        <sz val="13"/>
        <color theme="1"/>
        <rFont val="TH SarabunPSK"/>
        <family val="2"/>
      </rPr>
      <t>(ร้อยละ 70 ของเงินงบประมาณทั้งสิ้น
500,000.00 บาท)</t>
    </r>
  </si>
  <si>
    <t>R</t>
  </si>
  <si>
    <t>30/11/2560</t>
  </si>
  <si>
    <t>PL2-2561:1/6</t>
  </si>
  <si>
    <t>RV02050200361110268
RV02050200361110269</t>
  </si>
  <si>
    <t>องค์กรปกครองส่วนท้องถิ่น
จำนวน 10 หน่วยงาน</t>
  </si>
  <si>
    <t>PL2-2561:1/7</t>
  </si>
  <si>
    <t>RV02050200361110270
RV02050200361110271</t>
  </si>
  <si>
    <t>องค์กรปกครองส่วนท้องถิ่น
จำนวน 1 หน่วยงาน</t>
  </si>
  <si>
    <t>14/12/2560</t>
  </si>
  <si>
    <t>PL2-2561:1/10</t>
  </si>
  <si>
    <t>RV02050200361120099
RV02050200361120100</t>
  </si>
  <si>
    <t>องค์กรปกครองส่วนท้องถิ่น
จำนวน 17 หน่วยงาน</t>
  </si>
  <si>
    <t>22/12/2560</t>
  </si>
  <si>
    <t>PL2-2561:1/12</t>
  </si>
  <si>
    <t>RV02050200361120187
RV02050200361120188</t>
  </si>
  <si>
    <t>องค์กรปกครองส่วนท้องถิ่น
จำนวน 5 หน่วยงาน</t>
  </si>
  <si>
    <t>29/12/2560</t>
  </si>
  <si>
    <t>PR2-2561:2/4</t>
  </si>
  <si>
    <t>RV02050200361120272</t>
  </si>
  <si>
    <t xml:space="preserve">การเคหะแห่งชาติ </t>
  </si>
  <si>
    <t>สัญญาจ้างจัดทำโรงการศึกษาวิจัย 
การจัดการเพื่อการพัฒนาชุมชนเมืองและ
ที่อยู่อาศัยในเขตการค้าชายแดนไทย-
มาเลเชีย ตามสัญญาเลขที่ พด.223/59 
จากหน่วยงานการเคหะแห่งชาติ 
งบประมาณทั้งสิ้น 2,320,000.00 บาท 
ซึ่งดำเนินการเสร็จสิ้นแล้วทางผู้จ้างได้จ่าย
คืนเงินค่าหลักประกันผลงาน</t>
  </si>
  <si>
    <t>03/01/2561</t>
  </si>
  <si>
    <t>PR2-2561:2/10</t>
  </si>
  <si>
    <t>RV02050200361010008
RV02050200361010009</t>
  </si>
  <si>
    <t>ผศ.ดร.มณฑนา พิพัฒน์เพ็ญ</t>
  </si>
  <si>
    <t>สำนักงานปลัดกระทรวงยุติธรรม</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</si>
  <si>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1 ร้อยละ 20 คิดเป็นเงิน 
200,000 บาท โดยหักค่าประกันผลงาน
ร้อยละ 5 ของเงินงวดเหลือเงินโอนเข้า
บัญชี 190,000 บาท</t>
  </si>
  <si>
    <t>08/01/2561</t>
  </si>
  <si>
    <t>PR2-2561:2/15</t>
  </si>
  <si>
    <t>RV02050200361010064</t>
  </si>
  <si>
    <t>ฝ่ายการเดินรถ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</si>
  <si>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บริการรถไฟปี 2559 จากฝ่ายการเดินรถ 
การรถไฟแห่งประเทศไทย ในวงเงินราคา
กลาง 2,030,000.00 บาท 
</t>
    </r>
    <r>
      <rPr>
        <b/>
        <sz val="13"/>
        <color theme="1"/>
        <rFont val="TH SarabunPSK"/>
        <family val="2"/>
      </rPr>
      <t>(เงินประกันผลงาน จากงานแล้วเสร็จ)</t>
    </r>
  </si>
  <si>
    <t>PL2-2561:1/13</t>
  </si>
  <si>
    <t>RV02050200361010065
RV02050200361010066</t>
  </si>
  <si>
    <t>องค์กรปกครองส่วนท้องถิ่น
จำนวน 7 หน่วยงาน</t>
  </si>
  <si>
    <t>16/01/2561</t>
  </si>
  <si>
    <t>PL2-2561:1/16</t>
  </si>
  <si>
    <t>RV02050200361010168
RV02050200361010169</t>
  </si>
  <si>
    <t>22/01/2561</t>
  </si>
  <si>
    <t>PL2-2561:1/17</t>
  </si>
  <si>
    <t>RV02050200361010258
RV02050200361010259</t>
  </si>
  <si>
    <t>PR2-2560:2/21</t>
  </si>
  <si>
    <t>RV02050200361010260
RV02050200361010261</t>
  </si>
  <si>
    <t>สำนักงานเลขาธิการสภาการศึกษา</t>
  </si>
  <si>
    <r>
      <t xml:space="preserve">สัญญาจ้างเลขที่ 19/2560 จากสำนักงาน
เลขาธิการสภาการศึกษา มีความประสงค์
จะจ้างที่ปรึกษาเพื่อปฏิบัติงานตาม
โครงการวิจัยและพัฒนารูปแบบ กลไกล
การเสริมสร้างวินัยในสถานศึกษาระดับ
การศึกษาขั้นพื้นฐานด้านการมีจิตอาสา
เสียสละเห็นอกเห็นใจผู้อื่น วงเงินทั้งหมด
ของสัญญา 1,200,000.00 บ. 
</t>
    </r>
    <r>
      <rPr>
        <b/>
        <sz val="13"/>
        <color theme="1"/>
        <rFont val="TH SarabunPSK"/>
        <family val="2"/>
      </rPr>
      <t>(รายการงวดที่ 3 เป็นเงิน 228,000.- บ.
พร้อมเงินค่าประกันผลงานไว้ 5% จาก
เงินที่ได้รับในงวดที่ 3 เป็นเงิน 12,000บ.)</t>
    </r>
  </si>
  <si>
    <t>02/02/2561</t>
  </si>
  <si>
    <t>PR1-2561:32/23</t>
  </si>
  <si>
    <t>RV02050200361020012
RV02050200361020013</t>
  </si>
  <si>
    <t>อาจารย์ปพนธียร์ ธีระพันธ์</t>
  </si>
  <si>
    <t>คณะนิติศาสตร์</t>
  </si>
  <si>
    <t>สำนักงานคณะกรรมการ
วิจัยแห่งชาติ</t>
  </si>
  <si>
    <r>
      <t xml:space="preserve">ค่าธรรมเนียมการวิจัย 10% จากยอดรวม
ทุนอุดหนุนการวิจัยตามงบประมาณทั้งสิ้น 
330,000 บาท โครงการวิจัยเรื่องการพัฒนา
กฎหมายเกี่ยวกับทะเบียนประวัติอาชญากร
ของเด็กและเยาวชน 
</t>
    </r>
    <r>
      <rPr>
        <b/>
        <sz val="13"/>
        <color theme="1"/>
        <rFont val="TH SarabunPSK"/>
        <family val="2"/>
      </rPr>
      <t>(ตามสัญญาที่ วช.(0)(กบง)/150/2560)</t>
    </r>
  </si>
  <si>
    <t>05/02/2561</t>
  </si>
  <si>
    <t>PL2-2561:1/18</t>
  </si>
  <si>
    <t>RV02050200361020033
RV02050200361020034</t>
  </si>
  <si>
    <t>08/02/2561</t>
  </si>
  <si>
    <t>PR2-2560:2/39
PR2-2560:2/40</t>
  </si>
  <si>
    <t>RV02050200361020097
RV02050200361020098</t>
  </si>
  <si>
    <t>สำนักงานเลขาธิการสภา
การศึกษา</t>
  </si>
  <si>
    <t xml:space="preserve">สัญญาจ้างเลขที่ 19/2560 จ้างที่ปรึกษา
เพื่อปฏิบัติงานตามโครงการวิจัยและพัฒนา
รูปแบบ กลไกลการเสริมสร้างวินัยใน
สถานศึกษาระดับการศึกษาขั้นพื้นฐาน
ด้านการมีจิตอาสา เสียสละ เห็นอกเห็นใจ
ผู้อื่น งวดที่ 1 </t>
  </si>
  <si>
    <t>20/02/2561</t>
  </si>
  <si>
    <t>PR2-2561:2/47</t>
  </si>
  <si>
    <t>RV02050200361020206
RV02050200361020207</t>
  </si>
  <si>
    <t>อาจารย์ ดร.นวลพรรณ วรรณสุธี</t>
  </si>
  <si>
    <r>
      <t xml:space="preserve">สัญญาจ้างผู้เชียวชาญรายบุคคลหรือจ้าง
บริษัทที่ปรึกษาเลขที่ 51/2558 ว่าจ้างที่
ปรึกษาโครงการนำร่อง "จังหวัดประชาคม
ปฏิรูปการเรียนรู้" (Empowering Reform 
Provinces) ของจังหวัดสตูลในงบประมาณ 
690,000 บาท
</t>
    </r>
    <r>
      <rPr>
        <b/>
        <sz val="13"/>
        <color theme="1"/>
        <rFont val="TH SarabunPSK"/>
        <family val="2"/>
      </rPr>
      <t>(เงินคืนค่าประกันผลงาน งวดที่ 1)</t>
    </r>
  </si>
  <si>
    <t>PR2-2561:2/48</t>
  </si>
  <si>
    <t>RV02050200361020208
RV02050200361020209</t>
  </si>
  <si>
    <t>สำนักงานปลัดกระทรวง
ยุติธรรม</t>
  </si>
  <si>
    <t>สัญญาจ้างที่ปรึกษาเลขที่ 134/2560 ว่าจ้าง
ให้เป็นที่ปรึกษาโครงการปฏิบัติการการจัด
การศึกษาเพื่อสร้างทักษะชีวิตสำหรับเด็ก
และเยาวชนในสถานพินิจและคุ้มครองเด็ก
และเยาวชนและศูนย์ฝึกและอบรมเด็กและ
เยาวชนในจังหวัดชายแดนภาคใต้ งวดที่ 2</t>
  </si>
  <si>
    <t>16/03/2561</t>
  </si>
  <si>
    <t>PR2-2560:3/20</t>
  </si>
  <si>
    <t>RV02050200361030121
RV02050200361030122</t>
  </si>
  <si>
    <t>สถาบันปฏิบัติการชุมชน
เพื่อการศึกษาแบบ
บูรณาการ</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</si>
  <si>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
จากแหล่งทุนภายนอก พ.ศ.2557 โดยคำนวณจากยอดเงินสนับสนุนการวิจัย
ประจำปี 2559 เรื่อง ผลิตภัณฑ์มูลค่าเพิ่ม
จากสวนผลไม้โดยใช้กรีนเทคโนโลยี กรณีศึกษาสวนผลไม้ชุมชนตำบลหนองธง 
อ.ป่าบอน จังหวัดพัทลุง 
</t>
    </r>
    <r>
      <rPr>
        <b/>
        <sz val="13"/>
        <color theme="1"/>
        <rFont val="TH SarabunPSK"/>
        <family val="2"/>
      </rPr>
      <t>(เงินงวด 380,000 บาท X 10%)</t>
    </r>
  </si>
  <si>
    <t>20/03/2561</t>
  </si>
  <si>
    <t>PR2-2561:3/22</t>
  </si>
  <si>
    <t>RV02050200361030157</t>
  </si>
  <si>
    <t>ผู้ช่วยศาสตราจารย์ ดร.อุษา อ้นทอง</t>
  </si>
  <si>
    <t xml:space="preserve">สำนักงานพัฒนาเศรษฐกิจ
จากฐานชีวภาพ
(องค์การมหาชน) </t>
  </si>
  <si>
    <r>
      <t xml:space="preserve">ทุนอุดหนุนดำเนินการวิจัย เรื่อง โครงการการกำจัดก๊าซไฮโดรเจนซัลไฟด์ในก๊าซชีวภาพด้วยระบบ Denitrifying Sulfide Remaoval  งวดที่ 1
</t>
    </r>
    <r>
      <rPr>
        <b/>
        <sz val="13"/>
        <color theme="1"/>
        <rFont val="TH SarabunPSK"/>
        <family val="2"/>
      </rPr>
      <t>(ตามสัญญาให้ทุนจะหักค่าธรรมเนียม
วิจัยในงวดสุดท้ายด้วยยอด 41,900 บ.)</t>
    </r>
  </si>
  <si>
    <t>27/03/2561</t>
  </si>
  <si>
    <t>PL2-2561:1/19</t>
  </si>
  <si>
    <t>RV02050200361030213</t>
  </si>
  <si>
    <t>องค์การบริหารส่วนตำบล
ทุ่งหวัง</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</si>
  <si>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r>
    <r>
      <rPr>
        <b/>
        <sz val="13"/>
        <color theme="1"/>
        <rFont val="TH SarabunPSK"/>
        <family val="2"/>
      </rPr>
      <t>(เงินค่าประกันผลงานไม่หักค่าธรรมเนียม)</t>
    </r>
  </si>
  <si>
    <t>03/04/2561</t>
  </si>
  <si>
    <t>PR2-2560:3/42</t>
  </si>
  <si>
    <t>RV02050200361040015
RV02050200361040016</t>
  </si>
  <si>
    <t>สำนักงานเครือข่ายอุดมศึกษาภาคใต้ตอนล่าง</t>
  </si>
  <si>
    <t>เงินสนับสนุนการวิจัยเรื่อง การจัดกระบวน
การเรียนรู้เพื่อเสริมสร้างนักเรียนให้มีทักษะศตวรรษที่ 21 และส่งเสริมคุณธรรมจริยธรรม
ผ่านกิจกรรมลดเวลาเรียนเพิ่มเวลารู้ โดยใช้
กระบวนการชุมชนวิชาชีพครู (Professional
Learning Community) และการสอนงาน
เป็นพี่เลี้ยง (Coaching and Mentoring) 
ในสถานศึกษาระดับประถมศึกษาจังหวัดสงขลา-ภายใต้โครงการพัฒนาคุณภาพ
การศึกษาและการพัฒนาท้องถิ่นโดยมี
สถาบันอุดมศึกษาเป็นพี่เลี้ยงประจำปี2561 
งบประมาณทั้งสิ้น 960,000.00 บาท</t>
  </si>
  <si>
    <t>19/04/2561</t>
  </si>
  <si>
    <t>PR2-2561:3/50</t>
  </si>
  <si>
    <t>RV02050200361040160
RV02050200361040161</t>
  </si>
  <si>
    <t>อาจารย์ ดร.อรพินท์ บุญสิน</t>
  </si>
  <si>
    <t>กลุ่มธุรกิจการเดินรถ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</si>
  <si>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1)</t>
    </r>
    <r>
      <rPr>
        <sz val="13"/>
        <color theme="1"/>
        <rFont val="TH SarabunPSK"/>
        <family val="2"/>
      </rPr>
      <t xml:space="preserve"> </t>
    </r>
  </si>
  <si>
    <t>11/05/2561</t>
  </si>
  <si>
    <t>PR2-2561:4/33</t>
  </si>
  <si>
    <t>RV02050200361050147
RV02050200361050148</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</si>
  <si>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3 ร้อยละ 20 คิดเป็นเงิน 
200,000 บาท โดยหักค่าประกันผลงาน
ร้อยละ 5 ของเงินงวดเหลือเงินโอนเข้า
บัญชี 190,000 บาท</t>
  </si>
  <si>
    <t>25/05/2561</t>
  </si>
  <si>
    <t>PR2-2561:4/39</t>
  </si>
  <si>
    <t>RV02050200361050268
RV02050200361050269</t>
  </si>
  <si>
    <t>13/06/2561</t>
  </si>
  <si>
    <t>PR2-2561:4/46</t>
  </si>
  <si>
    <t>RV02050200361060134
RV02050200361060135</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</si>
  <si>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2)</t>
    </r>
    <r>
      <rPr>
        <sz val="13"/>
        <color theme="1"/>
        <rFont val="TH SarabunPSK"/>
        <family val="2"/>
      </rPr>
      <t xml:space="preserve"> </t>
    </r>
  </si>
  <si>
    <t>25/06/2561</t>
  </si>
  <si>
    <t>PL2-2561:1/22</t>
  </si>
  <si>
    <t>RV02050200361060287
RV02050200361060288</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</si>
  <si>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</si>
  <si>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03/07/2561</t>
  </si>
  <si>
    <t>PR2-2561:5/10</t>
  </si>
  <si>
    <t>RV02050200361070028
RV02050200361070029</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</si>
  <si>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2 ร้อยละ 20 คิดเป็นเงิน 
200,000 บาท โดยหักค่าประกันผลงาน
ร้อยละ 5 ของเงินงวดเหลือเงินโอนเข้า
บัญชี 190,000 บาท</t>
  </si>
  <si>
    <t>03/08/2561</t>
  </si>
  <si>
    <t>PR2-2561:6/1</t>
  </si>
  <si>
    <t>RV02050200361080039
RV02050200361080040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</si>
  <si>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3)</t>
    </r>
    <r>
      <rPr>
        <sz val="13"/>
        <color theme="1"/>
        <rFont val="TH SarabunPSK"/>
        <family val="2"/>
      </rPr>
      <t xml:space="preserve"> </t>
    </r>
  </si>
  <si>
    <t>08/08/2561</t>
  </si>
  <si>
    <t>PR2-2561:6/4</t>
  </si>
  <si>
    <t>RV02050200361080107</t>
  </si>
  <si>
    <t>09/08/2561</t>
  </si>
  <si>
    <t>PL2-2561:15/44</t>
  </si>
  <si>
    <t>RV02050200361080116
RV02050200361080117</t>
  </si>
  <si>
    <t>PR2-2561:6/44</t>
  </si>
  <si>
    <t>RV02050200361090269
RV02050200361090270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</si>
  <si>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(เงินค่าประกันผลงาน)</t>
    </r>
    <r>
      <rPr>
        <sz val="13"/>
        <color theme="1"/>
        <rFont val="TH SarabunPSK"/>
        <family val="2"/>
      </rPr>
      <t xml:space="preserve"> </t>
    </r>
  </si>
  <si>
    <t>PL2-2561:16/9</t>
  </si>
  <si>
    <t>RV02050200361090327
RV02050200361090328</t>
  </si>
  <si>
    <t>องค์กรปกครองส่วนท้องถิ่น
จำนวน 3 หน่วยงาน</t>
  </si>
  <si>
    <t>PL2-2561:16/10</t>
  </si>
  <si>
    <t>RV02050200361090395
RV02050200361090396</t>
  </si>
  <si>
    <t>องค์กรปกครองส่วนท้องถิ่น
จำนวน 6 หน่วยงาน</t>
  </si>
  <si>
    <t>PL2-2561:16/12</t>
  </si>
  <si>
    <t>RV02050200361090450
RV02050200361090446</t>
  </si>
  <si>
    <t>สำนักงานมหาวิทยาลัย - วิทยาเขตพัทลุง</t>
  </si>
  <si>
    <t>17/10/2560</t>
  </si>
  <si>
    <t>PR2-2561:1/11</t>
  </si>
  <si>
    <t>RV02050200361100168
RV02050200361100169</t>
  </si>
  <si>
    <t>ผศ.ดร.สุภฎา คีรีรัฐนิคม</t>
  </si>
  <si>
    <t>DSM Singapore Industrial Pte.Ltd.</t>
  </si>
  <si>
    <t xml:space="preserve">ทุนอุดหนุนดำเนินการวิจัยเรื่อง Enzyme Solution for Hybrid Catfish : effects of different enzyme solutions on apparent feed digetibility in hybird catfish. (Ciarias macrocephalus X Clarias gariepinus) </t>
  </si>
  <si>
    <t>19/01/2561</t>
  </si>
  <si>
    <t>PL2-2561:2/19</t>
  </si>
  <si>
    <t>RV02050200361010235
RV02050200361010236</t>
  </si>
  <si>
    <t>BASF New Business 
GmbH</t>
  </si>
  <si>
    <r>
      <t xml:space="preserve">ทุนอุดหนุนดำเนินการวิจัยแผนงานวิจัย
เรื่อง Trial to Study Effect of Iron 
Glycinate and Zinc Glycinate on 
Tilapia Performance จาก BASF New 
Business GmbH  งบประมาณทั้งสิ้น 
320,000.00 บาท 
</t>
    </r>
    <r>
      <rPr>
        <b/>
        <sz val="13"/>
        <color theme="1"/>
        <rFont val="TH SarabunPSK"/>
        <family val="2"/>
      </rPr>
      <t>(งวดที่ 1 = 288,000.00 บาท)</t>
    </r>
  </si>
  <si>
    <t>PR2-2561:3/21</t>
  </si>
  <si>
    <t>RV02050200361030155
RV02050200361030156</t>
  </si>
  <si>
    <t>อาจารย์ ดร.พีรนาฎ คิดดี</t>
  </si>
  <si>
    <t>สำนักงานพัฒนา
วิทยาศาสตร์
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</si>
  <si>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ค่าความร้อนของวัสดุผสมเพื่อเป็นเชื้อเพลิง
จากขยะกับชีวมวลจากปาล์มและชีวมวล
จากมะพร้าว งวดที่ 1
</t>
    </r>
    <r>
      <rPr>
        <b/>
        <sz val="13"/>
        <color theme="1"/>
        <rFont val="TH SarabunPSK"/>
        <family val="2"/>
      </rPr>
      <t>(ซึ่งตามสัญญาระบุเงินสนับสนุน
หน่วยงานเป็นจำนวนเงิน 30,000 บาท)</t>
    </r>
  </si>
  <si>
    <t>01/05/2561</t>
  </si>
  <si>
    <t>PR2-2561:4/17</t>
  </si>
  <si>
    <t>RV02050200361050004
RV02050200361050005</t>
  </si>
  <si>
    <t>อาจารย์ ดร.อรสา อนันต์</t>
  </si>
  <si>
    <t>สำนักงานพัฒนาวิทยาศาตร์และเทคโนโลยีแห่งชาติ</t>
  </si>
  <si>
    <t>สัญญาให้ทุนอุดหนุนโครงการวิจัย 
พัฒนาและวิศวกรรม สัญญาเลขที่ FDA-CO-2561-5829-TH เรื่องการพัฒนา
ตัวประมาณขนาดประชากรสำหรับข้อมูล
แบบ Capture-recapture ที่มีลักษณะ
เป็นวิวิธพันธ์ด้วยการแจกแจงแบบปัวซง
ผสม งบประมาณทั้งโครงการ 250,000 บ.(โดยแบ่งจ่ายงวดที่1 เป็นเงิน 169,490 บ. แบ่งเป็นงบบริหารโครงการ 30,000 บาท 
เป็นทุนวิจัย 139,490 บาท)</t>
  </si>
  <si>
    <t>PR2-2561:4/19</t>
  </si>
  <si>
    <t>RV02050200361050006
RV02050200361050007</t>
  </si>
  <si>
    <t>อาจารย์ ดร.สุนิสา คงประสิทธิ์</t>
  </si>
  <si>
    <t>สัญญาให้ทุนอุดหนุนโครงการวิจัย 
พัฒนาและวิศวกรรม สัญญาเลขที่ FDA-CO-2561-5831-TH เรื่องการพัฒนา
ชุดการเรียนรู้เรื่องการจัดการมูลฝอยใน
โรงเรียนด้วยกระบวนการสิ่งแวดล้อมศึกษา 
สำหรับนักเรียนชั้นประถมศึกษาปีที่ 5-6 
โรงเรียนในเขตเทศบาล ต.ลานข่อย 
งบประมาณทั้งโครงการ 250,000 บาท 
(โดยแบ่งจ่ายงวดที่1 เป็นเงิน 171,160 บ. แบ่งเป็นงบบริหารโครงการ 30,000 บาท 
เป็นทุนวิจัย 141,160 บาท)</t>
  </si>
  <si>
    <t>RV02050200361050008
RV02050200361050009</t>
  </si>
  <si>
    <t>อาจารย์ ดร.จักรพงศ์ ไชยบุรี</t>
  </si>
  <si>
    <t>สัญญาให้ทุนอุดหนุนโครงการวิจัย 
พัฒนาและวิศวกรรม สัญญาเลขที่ FDA-CO-2561-5830-TH เรื่องการพัฒนา
ตัวเร่งปฏิกิริยาเพื่อเซลเชื้อเพลิงเอทานอล
โดยไม่ใช้เยื่อเลือกผ่าน 
งบประมาณทั้งโครงการ 250,000 บาท 
(โดยแบ่งจ่ายงวดที่1 เป็นเงิน 190,000 บ. แบ่งเป็นงบบริหารโครงการ 30,000 บาท 
เป็นทุนวิจัย 160,000 บาท)</t>
  </si>
  <si>
    <t>02/07/2561</t>
  </si>
  <si>
    <t>PR2-2561:5/8</t>
  </si>
  <si>
    <t>RV02050200361070017
RV02050200361070018</t>
  </si>
  <si>
    <t>ทุนอุดหนุนดำเนินการวิจัยเรื่อง Enzyme Solution for Hybrid Catfish : effects of different enzyme solutions on apparent feed digetibility in hybird catfish. (Ciarias macrocephalus X Clarias gariepinus) งวดที่ 2</t>
  </si>
  <si>
    <t>PR2-2561:5/9</t>
  </si>
  <si>
    <t>RV02050200361070019
RV02050200361070020</t>
  </si>
  <si>
    <t>DSM Singapore Industrial 
Pte.Ltd.</t>
  </si>
  <si>
    <t>ทุนอุดหนุนดำเนินการวิจัยเรื่อง Effects 
of enzyme solution on apparent 
digestibility coefficient of feed ingredients in hybrid catfish. 
(Ciarias macrocephalus X Clarias 
gariepinus)  งวดที่ 1</t>
  </si>
  <si>
    <t>05/07/2561</t>
  </si>
  <si>
    <t>PR2-2561:5/15</t>
  </si>
  <si>
    <t>RV02050200361070046
RV02050200361070047</t>
  </si>
  <si>
    <r>
      <t xml:space="preserve">ทุนอุดหนุนดำเนินการวิจัยแผนงานวิจัย
เรื่อง Trial to Study Effect of Iron 
Glycinate and Zinc Glycinate on 
Tilapia Performance งบประมาณทั้งสิ้น
320,000 บาท </t>
    </r>
    <r>
      <rPr>
        <b/>
        <sz val="13"/>
        <color theme="1"/>
        <rFont val="TH SarabunPSK"/>
        <family val="2"/>
      </rPr>
      <t>(งวดที่ 2 = 32,000.00 บ. 
และงวดพิเศษ = 45,000.00 บ.)</t>
    </r>
  </si>
  <si>
    <t>18/07/2561</t>
  </si>
  <si>
    <t>PR2-2561:5/26</t>
  </si>
  <si>
    <t>RV02050200361070232
RV02050200361070233</t>
  </si>
  <si>
    <t>อาจารย์ ดร.สุวิมล จุงจิตร์</t>
  </si>
  <si>
    <t>สำนักงานพัฒนาวิทยาศาตร์
และเทคโนโลยีแห่งชาติ</t>
  </si>
  <si>
    <t xml:space="preserve">สัญญาให้ทุนอุดหนุนโครงการวิจัย 
พัฒนาและวิศวกรรม สัญญาเลขที่ FDA-CO-2561-6445-TH เรื่องการขยาย
ขีดความสามารถของขั้นตอนวิธีเชิง
พันธุกรรมแบบหลายวัตถุประสงค์ด้วย
วิธีพจนานุกรมสำหรับวิธีการคัดเลือก
คุณสมบัติตามความสัมพันธ์แบบหลาย
หมวดหมู่ งบประมาณ 250,000 บาท </t>
  </si>
  <si>
    <t>PR2-2561:5/25</t>
  </si>
  <si>
    <t>RV02050200361070234
RV02050200361070235</t>
  </si>
  <si>
    <t>อาจารย์ ดร.คณิดา สินใหม</t>
  </si>
  <si>
    <t>สัญญาให้ทุนอุดหนุนโครงการวิจัย 
พัฒนาและวิศวกรรม สัญญาเลขที่ FDA-CO-2561-6444-TH 
เรื่อง การสนับสนุนการทำงานร่วมกัน
เชิงสร้างสรรค์ในสภาพแวดล้อมหลาย
จอภาพ งบประมาณ 250,000 บาท</t>
  </si>
  <si>
    <t>23/08/2561</t>
  </si>
  <si>
    <t>PR2-2561:6/13</t>
  </si>
  <si>
    <t>RV02050200361080314</t>
  </si>
  <si>
    <t>สำนักงานพัฒนาเศรษฐกิจ
จากฐานชีวภาพ
(องค์การมหาชน)</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</si>
  <si>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งวดที่ 3 (ครั้งที่ 2)</t>
  </si>
  <si>
    <t>PR2-2561:6/16</t>
  </si>
  <si>
    <t>RV02050200361080323
RV02050200361080324</t>
  </si>
  <si>
    <t>อาจารย์ ดร.นันทิดา สุธรรมวงศ์</t>
  </si>
  <si>
    <t>สำนักงานกองทุนสนับสนุน
การวิจัย (สกว.)</t>
  </si>
  <si>
    <r>
      <t xml:space="preserve">เงินบำรุงสถาบัน (งวดพิเศษ ก) ตาม
สัญญเลขที่ RDG5230028 เรื่องการพัฒนา
ระบบสารสนเทศเพื่อการบริหารจัดการ
ทรัพยากรน้ำเชิงพื้นที่ของจังหวัดพัทลุง 
</t>
    </r>
    <r>
      <rPr>
        <b/>
        <sz val="13"/>
        <color theme="1"/>
        <rFont val="TH SarabunPSK"/>
        <family val="2"/>
      </rPr>
      <t>(โดยแบ่งเป็นส่วนของมหาวิทยาลัยทักษิณ 
จำนวน 51,933.75 บ. (ร้อยละ25) 
ส่วนของคณะวิทยาศาสตร์จำนวนเงิน 
51,933.75 บ. (ร้อยละ25) 
และส่วนของสาขาวิชาวิทยาศาสตร์ชีวภาพและสิ่งแวดล้อมจำนวนเงิน 103,867.50 บ. (ร้อยละ50))</t>
    </r>
  </si>
  <si>
    <t>PR2-2561:6/35</t>
  </si>
  <si>
    <t>RV02050200361090062
RV02050200361090063</t>
  </si>
  <si>
    <t>อาจารย์ ดร.จารุรัตน์ ปัญโญ</t>
  </si>
  <si>
    <t>คณะวิทยาการสุขภาพ
และการกีฬา</t>
  </si>
  <si>
    <t>สำนักงานพัฒนาวิทยาศาสตร์
และเทคโนโลยีแห่งชาติ 
(สวทช.)</t>
  </si>
  <si>
    <t>เงินสนับสนุนโครงการวิจัย เรื่อง ฤทธิ์ต้านมะเร็งและต้านการอักเสบของสารสกัดจากแซะ (Callerya atropurpurea) งวดที่ 1</t>
  </si>
  <si>
    <t>หน่วยงานลักษณะพิเศษ - สำนักบ่มเพาะวิชาการเพื่อวิสาหกิจในชุมชน</t>
  </si>
  <si>
    <t>รวมยอดเงินรับรายได้ประเภททุนสนับสนุนเพื่อการวิจัยระหว่างเดือนตุลาคม 2560 - กันยายน 2561 เป็นเงินทั้งสิ้น</t>
  </si>
  <si>
    <t>ผู้จัดทำ .........................................................</t>
  </si>
  <si>
    <t xml:space="preserve">       ผู้ตรวจสอบ....................................................</t>
  </si>
  <si>
    <t>ผู้อนุมัติ..................................................</t>
  </si>
  <si>
    <t>(นางสาวมานิกา ทองฤกษ์)</t>
  </si>
  <si>
    <t>(นางจันทิมา  คงคาลัย)</t>
  </si>
  <si>
    <t>หัวหน้ากลุ่มภารกิจด้านบัญชี</t>
  </si>
  <si>
    <t>หัวหน้ากลุ่มภารกิจด้านการเงิน</t>
  </si>
  <si>
    <t>หัวหน้าฝ่ายการคลังและทรัพย์สิน</t>
  </si>
  <si>
    <t>สำหรับปีงบประมาณ 2562  ระยะเวลาดำเนินการ 1  ตุลาคม 2561  สิ้นสุด 30 กันยายน 2562</t>
  </si>
  <si>
    <t>วิทยาลัยการจัดการเพื่อการพัฒนา</t>
  </si>
  <si>
    <t>PR2-2562:1/16</t>
  </si>
  <si>
    <t>RV02050200362100164</t>
  </si>
  <si>
    <t>ผศ.ดร.อภิวัฒน์ สมาธิ</t>
  </si>
  <si>
    <t>ห้างหุ้นส่วนจำกัด โรจนกิจ เทรดดิ้ง</t>
  </si>
  <si>
    <t>ค่าธรรมเนียมร้อยละ 10 จากการวิจัยเรื่อง 
แนวทางการดำเนินการกำจัดขยะมูลฝอย
อย่างมีประสิทธิภาพกรณีศึกษาเทศบาล
นครเชียงราย วงเงินทั้งสิ้น 200,000 บาท</t>
  </si>
  <si>
    <t>01/11/2561</t>
  </si>
  <si>
    <t>PR2-2562:1/32</t>
  </si>
  <si>
    <t>RV02050200362110010</t>
  </si>
  <si>
    <t>บริษัท ซุปเปอร์สกาย
เอนเนอร์ยี จำกัด</t>
  </si>
  <si>
    <r>
      <t xml:space="preserve">สัญญาเลขที่ TSU 03/เอกชน ทุนอุดหนุน
การวิจัย เรื่อง แนวทางการดำเนินธุรกิจ
การแปรรูปพลังงานขยะชุมชนโดยใช้เทคโนโลยีแก๊สซิฟิเคชั่น งวดที่ 1 
</t>
    </r>
    <r>
      <rPr>
        <b/>
        <sz val="13"/>
        <color theme="1"/>
        <rFont val="TH SarabunPSK"/>
        <family val="2"/>
      </rPr>
      <t>(วงเงินทั้งสิ้น 500,000.00 บาท)</t>
    </r>
  </si>
  <si>
    <t>12/09/2562</t>
  </si>
  <si>
    <t>PR2-2562:7/48</t>
  </si>
  <si>
    <t>RV02050200362090262</t>
  </si>
  <si>
    <t>วิสาหกิจชุมชนสมุนไพรไทย
ท่าชุมพล</t>
  </si>
  <si>
    <r>
      <t xml:space="preserve">ค่าธรรมเนียมร้อยละ 10 จากการวิจัยเรื่อง 
การดำเนินงานของวิสาหกิจชุมชนสมุนไพร
ไทยท่าชุมพลต่อแนวทางการปลูกพืชกัญชา
เพื่อประโยชน์ทางการแพทย์แผนไทยและ
การวิจัยภายใต้เงื่อนไขกฎหมายเพื่อ
การพัฒนา งบประมาณทั้งสิ้น 500,000 บ. 
</t>
    </r>
    <r>
      <rPr>
        <b/>
        <u/>
        <sz val="13"/>
        <color theme="1"/>
        <rFont val="TH SarabunPSK"/>
        <family val="2"/>
      </rPr>
      <t xml:space="preserve">งวดที่ 1 แบ่งจ่าย 250,000 บาท </t>
    </r>
  </si>
  <si>
    <t>PL2-2562:1/2</t>
  </si>
  <si>
    <t>RV02050200362100134</t>
  </si>
  <si>
    <t>องค์กรปกครองส่วนท้องถิ่น
จำนวน 19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</si>
  <si>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</si>
  <si>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PL2-2562:1/1</t>
  </si>
  <si>
    <t>RV02050200362100136</t>
  </si>
  <si>
    <t>องค์กรปกครองส่วนท้องถิ่น
จำนวน 27 หน่วยงาน</t>
  </si>
  <si>
    <t>PL2-2562:1/3</t>
  </si>
  <si>
    <t>RV02050200362100205</t>
  </si>
  <si>
    <t>องค์กรปกครองส่วนท้องถิ่น
จำนวน 21 หน่วยงาน</t>
  </si>
  <si>
    <t>PL2-2562:1/5</t>
  </si>
  <si>
    <t>RV02050200362100324</t>
  </si>
  <si>
    <t>องค์กรปกครองส่วนท้องถิ่น
จำนวน 22 หน่วยงาน</t>
  </si>
  <si>
    <t>05/11/2561</t>
  </si>
  <si>
    <t>PL2-2562:1/6</t>
  </si>
  <si>
    <t>RV02050200362110039</t>
  </si>
  <si>
    <t>องค์กรปกครองส่วนท้องถิ่น
จำนวน 14 หน่วยงาน</t>
  </si>
  <si>
    <t>15/11/2561</t>
  </si>
  <si>
    <t>PR2-2562:1/45</t>
  </si>
  <si>
    <t>RV02050200362110192</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</si>
  <si>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งวดที่ 5 
</t>
    </r>
    <r>
      <rPr>
        <b/>
        <sz val="13"/>
        <color theme="1"/>
        <rFont val="TH SarabunPSK"/>
        <family val="2"/>
      </rPr>
      <t>(งบประมาณทั้งสิ้น 1,000,000 บาท)</t>
    </r>
  </si>
  <si>
    <t>16/11/2561</t>
  </si>
  <si>
    <t>PL2-2562:1/8</t>
  </si>
  <si>
    <t>RV02050200362110210</t>
  </si>
  <si>
    <t>องค์กรปกครองส่วนท้องถิ่น
จำนวน 28 หน่วยงาน</t>
  </si>
  <si>
    <t>PL2-2562:1/9</t>
  </si>
  <si>
    <t>RV02050200362110211</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</si>
  <si>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(เงินประกันผลงาน)</t>
  </si>
  <si>
    <t>RV02050200362110212</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</si>
  <si>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พ.ศ.2561 </t>
  </si>
  <si>
    <t>30/11/2561</t>
  </si>
  <si>
    <t>PL2-2562:1/10</t>
  </si>
  <si>
    <t>RV02050200362110331</t>
  </si>
  <si>
    <t>องค์กรปกครองส่วนท้องถิ่น
จำนวน 16 หน่วยงาน</t>
  </si>
  <si>
    <t>17/12/2561</t>
  </si>
  <si>
    <t>PL2-2562:1/11</t>
  </si>
  <si>
    <t>RV02050200362120118</t>
  </si>
  <si>
    <t>18/12/2561</t>
  </si>
  <si>
    <t>PL2-2562:1/12</t>
  </si>
  <si>
    <t>RV02050200362120122</t>
  </si>
  <si>
    <t>24/12/2561</t>
  </si>
  <si>
    <t>PL2-2562:1/14</t>
  </si>
  <si>
    <t>RV02050200362120192</t>
  </si>
  <si>
    <t>25/12/2561</t>
  </si>
  <si>
    <t>PR2-2562:2/42</t>
  </si>
  <si>
    <t>RV02050200362120215</t>
  </si>
  <si>
    <t>22/02/2562</t>
  </si>
  <si>
    <t>PR2-2562:3/50</t>
  </si>
  <si>
    <t>RV02050200362020263</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</si>
  <si>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เงินประกันผลงาน
</t>
    </r>
    <r>
      <rPr>
        <b/>
        <sz val="13"/>
        <color theme="1"/>
        <rFont val="TH SarabunPSK"/>
        <family val="2"/>
      </rPr>
      <t>(งบประมาณทั้งสิ้น 1,000,000 บาท)</t>
    </r>
  </si>
  <si>
    <t>13/03/2562</t>
  </si>
  <si>
    <t>PR2-2562:4/19</t>
  </si>
  <si>
    <t>RV02050200362030160</t>
  </si>
  <si>
    <t>อาจารย์ ดร.วิชชาญ จุลหริก</t>
  </si>
  <si>
    <t>บริษัทดนตรีและศิลปะ
ซิมโฟนี</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</si>
  <si>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1</t>
  </si>
  <si>
    <t>19/03/2562</t>
  </si>
  <si>
    <t>PL2-2562:1/19</t>
  </si>
  <si>
    <t>RV02050200362030221</t>
  </si>
  <si>
    <t>องค์การบริหารส่วนตำบล
ควนรู</t>
  </si>
  <si>
    <t>22/03/2562</t>
  </si>
  <si>
    <t>PR2-2562:4/30</t>
  </si>
  <si>
    <t>RV02050200362030282</t>
  </si>
  <si>
    <t>รองศาสตราจารย์กรกฎ ทองขะโชค</t>
  </si>
  <si>
    <t>โรงเรียนนายร้อยตำรวจ</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</si>
  <si>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1
วงเงินตามสัญญา 1,100,000 บาท 
</t>
  </si>
  <si>
    <t>22/04/2562</t>
  </si>
  <si>
    <t>PR2-2562:4/49</t>
  </si>
  <si>
    <t>RV02050200362040184</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</si>
  <si>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</si>
  <si>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การสร้าง
ชุมชนแห่งการเรียนรู้ครูประถมศึกษา 
เพื่อการพัฒนาทักษะการจัดการเรียนรู้
ภาษาไทย เพื่อการอ่านออกเขียนได้และ
การอ่านเชิงวิเคราะห์ โดยใช้บทอ่านหนังสือ
ของพ่อฯ - ภายใต้โครงการพัฒนาคุณภาพ
การศึกษาและการพัฒนาท้องถิ่นโดยมี
สถาบันอุดมศึกาเป็นพี่เลี้ยงประจำปี 2562 
</t>
    </r>
    <r>
      <rPr>
        <b/>
        <sz val="13"/>
        <color theme="1"/>
        <rFont val="TH SarabunPSK"/>
        <family val="2"/>
      </rPr>
      <t>งบประมาณทั้งสิ้น 570,000.00 บาท</t>
    </r>
  </si>
  <si>
    <t>01/05/2562</t>
  </si>
  <si>
    <t>PR2-2562:5/9</t>
  </si>
  <si>
    <t>RV02050200362050002</t>
  </si>
  <si>
    <t>อาจารย์ ดร.ศิรดา นวลประดิษฐ์</t>
  </si>
  <si>
    <t>สำนักงานกองทุน
สนับสนุนการวิจัย (สกว)</t>
  </si>
  <si>
    <t xml:space="preserve">เงินงวดพิเศษ ก . ตามสัญญาเลขที่ 
RDG5940004-SO6 เรื่อง การพัฒนา
ศักยภาพการคิดต้นทุนผลิตภัณฑ์และ
การใช้เทคนิคบัญชีบริหารของวิสาหกิจ
ชุมชนผู้ผลิตและแปรรูปข้าวสังข์หยดพัทลุง 
บ้านเขากลาง อำเภอควนขนุน 
จังหวัดพัทลุง </t>
  </si>
  <si>
    <t>02/05/2562</t>
  </si>
  <si>
    <t>PR2-2562:5/14</t>
  </si>
  <si>
    <t>RV02050200362050025</t>
  </si>
  <si>
    <t>อาจารย์ เจษฎา ทองขาว</t>
  </si>
  <si>
    <t>มูลนิธิอันเฟรล (ANFREIL)</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</si>
  <si>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1 
</t>
    </r>
    <r>
      <rPr>
        <b/>
        <sz val="13"/>
        <color theme="1"/>
        <rFont val="TH SarabunPSK"/>
        <family val="2"/>
      </rPr>
      <t>งบประมาณทั้งสิ้น 2,700 USD</t>
    </r>
    <r>
      <rPr>
        <sz val="13"/>
        <color theme="1"/>
        <rFont val="TH SarabunPSK"/>
        <family val="2"/>
      </rPr>
      <t xml:space="preserve"> </t>
    </r>
  </si>
  <si>
    <t>21/05/2562</t>
  </si>
  <si>
    <t>PR2-2562:5/27</t>
  </si>
  <si>
    <t>RV02050200362050231</t>
  </si>
  <si>
    <t>ผศ.ดร.สุทธิพร บุญมาก</t>
  </si>
  <si>
    <r>
      <t xml:space="preserve">เงินงวดพิเศษ ก . ตามสัญญาเลขที่ 
RDG6010040 เรื่อง นโยบายการย้ายถิ่น
ข้าวของแรงงานชาวต่างชาติระดับทักษะ
ของประเทศสมาชิกอาเซียน : กรณีศึกษา
ประเทศสิงคโปร์และบรูไน 
</t>
    </r>
    <r>
      <rPr>
        <b/>
        <sz val="13"/>
        <color theme="1"/>
        <rFont val="TH SarabunPSK"/>
        <family val="2"/>
      </rPr>
      <t>(ส่วนของมหาวิทยาลัย ร้อยละ 25)</t>
    </r>
  </si>
  <si>
    <t>23/05/2562</t>
  </si>
  <si>
    <t>PR2-2562:5/31</t>
  </si>
  <si>
    <t>RV02050200362050243</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</si>
  <si>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2</t>
  </si>
  <si>
    <t>PR2-2562:5/34</t>
  </si>
  <si>
    <t>RV02050200362050245</t>
  </si>
  <si>
    <t>สถาบันพระปกเกล้า</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</si>
  <si>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1</t>
  </si>
  <si>
    <t>28/05/2562</t>
  </si>
  <si>
    <t>PR2-2562:5/35</t>
  </si>
  <si>
    <t>RV02050200362050304</t>
  </si>
  <si>
    <r>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2
</t>
    </r>
    <r>
      <rPr>
        <b/>
        <sz val="13"/>
        <color theme="1"/>
        <rFont val="TH SarabunPSK"/>
        <family val="2"/>
      </rPr>
      <t xml:space="preserve">วงเงินตามสัญญา 1,100,000 บาท </t>
    </r>
    <r>
      <rPr>
        <sz val="13"/>
        <color theme="1"/>
        <rFont val="TH SarabunPSK"/>
        <family val="2"/>
      </rPr>
      <t xml:space="preserve">
</t>
    </r>
  </si>
  <si>
    <t>PR2-2562:5/44</t>
  </si>
  <si>
    <t>RV02050200362060002</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</si>
  <si>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2 
</t>
    </r>
    <r>
      <rPr>
        <b/>
        <sz val="13"/>
        <color theme="1"/>
        <rFont val="TH SarabunPSK"/>
        <family val="2"/>
      </rPr>
      <t>งบประมาณทั้งสิ้น 2,700 USD</t>
    </r>
    <r>
      <rPr>
        <sz val="13"/>
        <color theme="1"/>
        <rFont val="TH SarabunPSK"/>
        <family val="2"/>
      </rPr>
      <t xml:space="preserve"> </t>
    </r>
  </si>
  <si>
    <t>PR2-2562:2/26</t>
  </si>
  <si>
    <t>JV02050200362060011</t>
  </si>
  <si>
    <t>ผศ.ดร.ปาริฉัตร ตู้ดำ</t>
  </si>
  <si>
    <t xml:space="preserve">เงินงวดพิเศษ ก . ตามสัญญาเลขที่ 
RDG5910030 เรื่อง สถานการณ์และ
การปรับตัวของผู้ประกอบการธุรกิจที่พัก
ในพื้นที่สามจังหวัดชายแดนภาคใต้ 
ประจำปีงบประมาณ 2559 </t>
  </si>
  <si>
    <t>PR2-2562:3/41</t>
  </si>
  <si>
    <t>JV02050200362060024</t>
  </si>
  <si>
    <t>ผศ.อภิเชษฐ กาญจนดิฐ</t>
  </si>
  <si>
    <r>
      <t xml:space="preserve">เงินงวดพิเศษ ก . ตามสัญญาเลขที่
RDG5910022 เรื่อง การดำเนินงานของ
รัฐบาลมาเลเซียในการต่อต้านการก่อ
การร้าย (คศ.2003-2015)  
</t>
    </r>
    <r>
      <rPr>
        <b/>
        <sz val="13"/>
        <color theme="1"/>
        <rFont val="TH SarabunPSK"/>
        <family val="2"/>
      </rPr>
      <t>(เฉพาะส่วนของมหาวิทยาลัยร้อยละ 25)</t>
    </r>
  </si>
  <si>
    <t>PR2-2562:3/22</t>
  </si>
  <si>
    <t>JV02050200362060026</t>
  </si>
  <si>
    <t>อาจารย์ สมพงค์ พรมสะอาด</t>
  </si>
  <si>
    <t xml:space="preserve">เงินงวดพิเศษ ก . ตามสัญญาเลขที่ 
SRI5910106 เรื่องแนวทางการพัฒนา
ระบบนิเวศน์ที่เอื้อต่อการเกิดขึ้นของธุรกิจ
เทคโนโลยีจัดตั้งใหม่:ศึกษาเปรียบเทียบ
ประเทศสิงคโปร์ มาเลเซีย และประเทศไทย </t>
  </si>
  <si>
    <t>03/07/2562</t>
  </si>
  <si>
    <t>PR2-2562:6/22</t>
  </si>
  <si>
    <t>RV02050200362070026</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</si>
  <si>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3 
</t>
    </r>
    <r>
      <rPr>
        <b/>
        <sz val="13"/>
        <color theme="1"/>
        <rFont val="TH SarabunPSK"/>
        <family val="2"/>
      </rPr>
      <t>งบประมาณทั้งสิ้น 2,700 USD</t>
    </r>
    <r>
      <rPr>
        <sz val="13"/>
        <color theme="1"/>
        <rFont val="TH SarabunPSK"/>
        <family val="2"/>
      </rPr>
      <t xml:space="preserve"> </t>
    </r>
  </si>
  <si>
    <t>16/08/2562</t>
  </si>
  <si>
    <t>PR2-2562:7/19</t>
  </si>
  <si>
    <t>RV02050200362080217</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</si>
  <si>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</si>
  <si>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พัฒนา
คุณภาพการเรียนรู้ ภาษาไทยเชิงรุก 
โดยใช้กระบวนการชุมชนวิชาชีพครู 
(Professional Learning Community) 
และการสอนงานและเป็นพี่เลี้ยง 
(Coaching and Mentoring) 
</t>
    </r>
    <r>
      <rPr>
        <b/>
        <sz val="13"/>
        <color theme="1"/>
        <rFont val="TH SarabunPSK"/>
        <family val="2"/>
      </rPr>
      <t>งบประมาณทั้งสิ้น 75,000 บาท</t>
    </r>
    <r>
      <rPr>
        <sz val="13"/>
        <color theme="1"/>
        <rFont val="TH SarabunPSK"/>
        <family val="2"/>
      </rPr>
      <t xml:space="preserve"> </t>
    </r>
  </si>
  <si>
    <t>30/08/2562</t>
  </si>
  <si>
    <t>PL2-2562:1/27</t>
  </si>
  <si>
    <t>RV02050200362080359</t>
  </si>
  <si>
    <t>PL2-2562:1/29</t>
  </si>
  <si>
    <t>RV02050200362090261</t>
  </si>
  <si>
    <t>19/09/2562</t>
  </si>
  <si>
    <t>PL2-2562:1/30</t>
  </si>
  <si>
    <t>RV02050200362090381</t>
  </si>
  <si>
    <t>23/09/2562</t>
  </si>
  <si>
    <t>PL2-2562:1/31</t>
  </si>
  <si>
    <t>RV02050200362090454</t>
  </si>
  <si>
    <t>25/09/2562</t>
  </si>
  <si>
    <t>PL2-2562:1/32</t>
  </si>
  <si>
    <t>RV02050200362090470</t>
  </si>
  <si>
    <t>องค์กรปกครองส่วนท้องถิ่น
จำนวน 18 หน่วยงาน</t>
  </si>
  <si>
    <t>PR2-2562:1/31</t>
  </si>
  <si>
    <t>RV02050200362110009</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</si>
  <si>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(เงินประกันผลงาน)</t>
  </si>
  <si>
    <t>PR2-2562:2/5</t>
  </si>
  <si>
    <t>RV02050200362110328</t>
  </si>
  <si>
    <t>อาจารย์ ดร.วันลภ ดิษสุวรรณ์</t>
  </si>
  <si>
    <t>สำนักงานคณะกรรมการ
การวิจัยแห่งชาติ (วช.)</t>
  </si>
  <si>
    <r>
      <t xml:space="preserve">ค่าธรรมเนียมร้อยละ 10 จากการวิจัยเรื่อง 
การจัดการทรัพยากรทางทะเลและชายฝั่ง
ในชุมชนแบบมีส่วนร่วมเพื่อพัฒนาและฟื้นฟู
ธนาคารปูม้าอย่างยั่งยืน จังหวัดสตูล งวดที่ 1
</t>
    </r>
    <r>
      <rPr>
        <b/>
        <sz val="13"/>
        <color theme="1"/>
        <rFont val="TH SarabunPSK"/>
        <family val="2"/>
      </rPr>
      <t xml:space="preserve">(งบประมาณทั้งสิ้น 2,100,000 บาท) </t>
    </r>
  </si>
  <si>
    <t>PR2-2562:2/4</t>
  </si>
  <si>
    <t>RV02050200362110329</t>
  </si>
  <si>
    <r>
      <t xml:space="preserve">ทุนอุดหนุนดำเนินการวิจัยแผนงานวิจัย
เรื่อง Trial to Study Effect of Phytase 
supplementation on growth and 
feed utilization in Nile Tilapia </t>
    </r>
    <r>
      <rPr>
        <b/>
        <sz val="13"/>
        <color theme="1"/>
        <rFont val="TH SarabunPSK"/>
        <family val="2"/>
      </rPr>
      <t>(งบประมาณทั้งสิ้น 396,000.00 บาท)</t>
    </r>
  </si>
  <si>
    <t>PR2-2562:2/6</t>
  </si>
  <si>
    <t>RV02050200362110330</t>
  </si>
  <si>
    <t>สำนักงานพัฒนาเศรษฐกิจจากฐานชีวภาพ 
(องค์การมหาชน)</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</si>
  <si>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3 
</t>
    </r>
    <r>
      <rPr>
        <b/>
        <sz val="13"/>
        <color theme="1"/>
        <rFont val="TH SarabunPSK"/>
        <family val="2"/>
      </rPr>
      <t xml:space="preserve">(งบประมาณทั้งสิ้น 470,000.00 บาท) </t>
    </r>
  </si>
  <si>
    <t>07/12/2561</t>
  </si>
  <si>
    <t>PR2-2562:2/17</t>
  </si>
  <si>
    <t>RV02050200362120045</t>
  </si>
  <si>
    <t>อาจารย์วิกาญดา ทองเนื้อแข็ง</t>
  </si>
  <si>
    <t>สำนักงานพัฒนาเศรษฐกิจ
จากฐานชีพวภาพ 
(องค์การมหาชน)</t>
  </si>
  <si>
    <r>
      <t>สัญญาเลขที่ สพภ.-วช.18/2561 สัญญารับ
ทุนอุดหนุนส่งเสริมและสนับสนุนการวิจัย
ด้านสิ่งแวดล้อมความหลากหลายทาง
ชีวภาพ และระบบนิเวศ เรื่อง การกำจัด
ซัลไฟด์และผลิตกรดซัลฟริคจากซัลไฟด์ใน
ระบบผลิตก๊าซชีวภาพจากน้ำเสียแปรรูป
ยางพาราเพื่อเพิ่มศักยภาพในการผลิต
มีแทนและนำกรดซัลฟูริคกลับมาใช้ใหม่ใน
กระบวนการผลิต งวดที่ 1</t>
    </r>
    <r>
      <rPr>
        <b/>
        <sz val="13"/>
        <color theme="1"/>
        <rFont val="TH SarabunPSK"/>
        <family val="2"/>
      </rPr>
      <t xml:space="preserve"> 
(วงเงินตามสัญญา 500,000 บ.) </t>
    </r>
  </si>
  <si>
    <t>05/02/2562</t>
  </si>
  <si>
    <t>PR2-2562:3/29</t>
  </si>
  <si>
    <t>RV02050200362020022</t>
  </si>
  <si>
    <t>ผศ.ดร.วิไลลักษณ์ กล่อมพงษ์</t>
  </si>
  <si>
    <t>คณะอุตสาหกรรมเกษตรและชีวภาพ</t>
  </si>
  <si>
    <t>สถาบันวิจัยวิทยาศาสตร์และ
เทคโนโลยีแห่งประเทศไทย</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</si>
  <si>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1
</t>
    </r>
    <r>
      <rPr>
        <b/>
        <sz val="13"/>
        <color theme="1"/>
        <rFont val="TH SarabunPSK"/>
        <family val="2"/>
      </rPr>
      <t>(วงเงินรวม 1,258,000.00 บ.)</t>
    </r>
  </si>
  <si>
    <t>05/03/2562</t>
  </si>
  <si>
    <t>PR2-2562:4/10</t>
  </si>
  <si>
    <t>RV02050200362030029</t>
  </si>
  <si>
    <t>อาจารย์ ดร.พลากร บุญใส</t>
  </si>
  <si>
    <t>สำนักงานพัฒนาการวิจัย
การเกษตร</t>
  </si>
  <si>
    <t>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1 
วงเงินตามงบประมาณ 433,400 บาท</t>
  </si>
  <si>
    <t>01/04/2562</t>
  </si>
  <si>
    <t>PR2-2562:4/36</t>
  </si>
  <si>
    <t>RV02050200362040001</t>
  </si>
  <si>
    <t>สำนักงานพัฒนาเศรษฐกิจ
จากฐานชีวภาพ 
(องค์การมหาชน)</t>
  </si>
  <si>
    <r>
      <t xml:space="preserve">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2 
</t>
    </r>
    <r>
      <rPr>
        <b/>
        <sz val="13"/>
        <color theme="1"/>
        <rFont val="TH SarabunPSK"/>
        <family val="2"/>
      </rPr>
      <t xml:space="preserve">(วงเงินตามสัญญา 500,000 บาท) </t>
    </r>
  </si>
  <si>
    <t>09/04/2562</t>
  </si>
  <si>
    <t>PR2-2562:4/39</t>
  </si>
  <si>
    <t>RV02050200362040113</t>
  </si>
  <si>
    <t>ผู้ช่วยศาสตราจารย์อุษา อ้นทอง</t>
  </si>
  <si>
    <t>กองทุนสนับสนุน
การสร้างเสริมสุขภาพ 
(สสส.)</t>
  </si>
  <si>
    <r>
      <t xml:space="preserve">ค่าธรรมเนียมสถาบันของงวดที่ 1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TH SarabunPSK"/>
        <family val="2"/>
      </rPr>
      <t xml:space="preserve">งบประมาณทั้งสิ้น 2,000,000บ. </t>
    </r>
  </si>
  <si>
    <t>PR2-2562:4/38</t>
  </si>
  <si>
    <t>RV02050200362040114</t>
  </si>
  <si>
    <t>อาจารย์ ดร.นันทรัตน์ พฤกษาพิทักษ์</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</si>
  <si>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1
</t>
    </r>
    <r>
      <rPr>
        <b/>
        <sz val="13"/>
        <color theme="1"/>
        <rFont val="TH SarabunPSK"/>
        <family val="2"/>
      </rPr>
      <t xml:space="preserve">งบประมาณทั้งสิ้น 1,500,000 บ. </t>
    </r>
  </si>
  <si>
    <t>หักส่ง
ค่าธรรมเนียม
ในงวดที่ 3</t>
  </si>
  <si>
    <t>PR2-2562:5/33</t>
  </si>
  <si>
    <t>RV02050200362050241</t>
  </si>
  <si>
    <t>อาจารย์ ดร.สุปานดี มณีโลกย์</t>
  </si>
  <si>
    <t xml:space="preserve">สำนักงานพัฒนา
วิทยาศาสตร์และ
เทคโนโลยีแห่งชาติ </t>
  </si>
  <si>
    <r>
      <t xml:space="preserve">เงินสนับสนุนทุนนักวิจัยใหม่ (วท.) 
ประจำปี 2561 เรื่อง การบำบัดโรดามีน 
บี ด้วยกระบวนการไฟฟ้าเคมีโดยใช้
ขั่วไฟฟ้า Ni/Sb-SnO2 งวดที่ 1
</t>
    </r>
    <r>
      <rPr>
        <b/>
        <sz val="13"/>
        <color theme="1"/>
        <rFont val="TH SarabunPSK"/>
        <family val="2"/>
      </rPr>
      <t xml:space="preserve">งบประมาณทั้งสิ้น 250,000 บาท </t>
    </r>
  </si>
  <si>
    <t>PR2-2562:5/32</t>
  </si>
  <si>
    <t>RV02050200362050242</t>
  </si>
  <si>
    <t>อาจารย์ ดร.นันทิยา พนมจันทร์</t>
  </si>
  <si>
    <t>คณะเทคโนโลยีและ
การพัฒนาชุมชน</t>
  </si>
  <si>
    <r>
      <t xml:space="preserve">เงินสนับสนุนทุนนักวิจัยใหม่ (วท.) 
ประจำปี 2561 เรื่อง การพัฒนาเทคนิค
ไบโอไพรมิงที่เหมาะสมต่อการยกระดับ
คุณภาพเมล็ดพันธุ์ด้วยแบคทีเรียส่งเสริม
การเจริญเติบโตบริเวณรากของข้าว งวดที่ 1
</t>
    </r>
    <r>
      <rPr>
        <b/>
        <sz val="13"/>
        <color theme="1"/>
        <rFont val="TH SarabunPSK"/>
        <family val="2"/>
      </rPr>
      <t>งบประมาณทั้งสิ้น 250,000 บาท</t>
    </r>
  </si>
  <si>
    <t>PR2-2562:5/42</t>
  </si>
  <si>
    <t>RV02050200362050305</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</si>
  <si>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4 
</t>
    </r>
    <r>
      <rPr>
        <b/>
        <sz val="13"/>
        <color theme="1"/>
        <rFont val="TH SarabunPSK"/>
        <family val="2"/>
      </rPr>
      <t xml:space="preserve">(งบประมาณทั้งสิ้น 470,000.00 บาท) </t>
    </r>
  </si>
  <si>
    <t>PR2-2562:6/20</t>
  </si>
  <si>
    <t>RV02050200362070027</t>
  </si>
  <si>
    <t>อาจารย์ ดร.นิรมล จันทรชาติ</t>
  </si>
  <si>
    <r>
      <t xml:space="preserve">ทุนอุดหนุนดำเนินการวิจัยตามโครงการ
วิจัยพัฒนาและวิศวกรรมเรื่อง การคำนวณ
และการดูดซับโลหะหนักในน้ำ โดยใช้
โครงสร้างคอนเดนส์แทนนินในวัสดุธรรมชาติ
เป็นตัวดูดซับ งวดที่ 3
</t>
    </r>
    <r>
      <rPr>
        <b/>
        <sz val="13"/>
        <color theme="1"/>
        <rFont val="TH SarabunPSK"/>
        <family val="2"/>
      </rPr>
      <t>งบประมาณทั้งโครงการ 250,000 บาท</t>
    </r>
  </si>
  <si>
    <t>หักส่ง
ค่าธรรมเนียม
ในงวดที่ 1</t>
  </si>
  <si>
    <t>19/07/2562</t>
  </si>
  <si>
    <t>PR2-2562:6/31</t>
  </si>
  <si>
    <t>RV02050200362070285</t>
  </si>
  <si>
    <t>ผศ.ดร.ชลทิศา สุขเกษม</t>
  </si>
  <si>
    <t>สำนักงานพัฒนาการวิจัย
เกษตร (องค์การมหาชน)</t>
  </si>
  <si>
    <r>
      <rPr>
        <b/>
        <u/>
        <sz val="13"/>
        <color theme="1"/>
        <rFont val="TH SarabunPSK"/>
        <family val="2"/>
      </rPr>
      <t>เงินค่าธรรมเนียมอุดหนุนสถาบันตามที่หน่วยงานต้นเรื่องสนับสนุนตามแผน</t>
    </r>
    <r>
      <rPr>
        <sz val="13"/>
        <color theme="1"/>
        <rFont val="TH SarabunPSK"/>
        <family val="2"/>
      </rPr>
      <t xml:space="preserve">
ตามสัญญาเลขที่ CRP5805021760 สัญญา
รับทุนอุดหนุนโครงการวิจัยการเกษตร 
เรื่อง การบำบัดสีในน้ำเสียจากการแปรรูป
ปาล์มน้ำมันด้วยเซลล์เชื้อเพลิงจุลินทรีย์ชนิดใช้กล้าเชื้อราที่เจริญภายใต้สภาวะไร้อากาศ
เป็นตัวเร่งบนขั้วอาโนด 
</t>
    </r>
    <r>
      <rPr>
        <b/>
        <sz val="13"/>
        <color theme="1"/>
        <rFont val="TH SarabunPSK"/>
        <family val="2"/>
      </rPr>
      <t>งบประมาณทั้งสิ้น 800,594.00 บาท</t>
    </r>
  </si>
  <si>
    <t>23/07/2562</t>
  </si>
  <si>
    <t>PR2-2562:6/34</t>
  </si>
  <si>
    <t>RV02050200362070341</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</si>
  <si>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2
</t>
    </r>
    <r>
      <rPr>
        <b/>
        <sz val="13"/>
        <color theme="1"/>
        <rFont val="TH SarabunPSK"/>
        <family val="2"/>
      </rPr>
      <t xml:space="preserve">งบประมาณทั้งสิ้น 1,500,000 บ. </t>
    </r>
  </si>
  <si>
    <t>07/08/2562</t>
  </si>
  <si>
    <t>PR2-2562:7/4</t>
  </si>
  <si>
    <t>RV02050200362080084</t>
  </si>
  <si>
    <t>ทุนอุดหนุนดำเนินการวิจัย เรื่อง Effects 
of enzyme solution on apparent 
digestibility coefficient of feed 
ingredients in hybrid catfish. 
(Ciarias macrocephalus X Clarias 
gariepinus)  งวดที่ 2</t>
  </si>
  <si>
    <t>PR2-2562:7/3</t>
  </si>
  <si>
    <t>RV02050200362080085</t>
  </si>
  <si>
    <t>ทุนอุดหนุนดำเนินการวิจัย เรื่อง The effect 
of high levels of supplementation 
in diet on growth performance and 
feed utilization of Nile tilapia งวดที่ 1</t>
  </si>
  <si>
    <t>13/08/2562</t>
  </si>
  <si>
    <t>PR2-2562:7/12</t>
  </si>
  <si>
    <t>RV02050200362080151</t>
  </si>
  <si>
    <t>รศ.ดร.จอมภพ แววศักดิ์</t>
  </si>
  <si>
    <t xml:space="preserve">ไฟฟ้าฝ่ายผลิต
แห่งประเทศไทย (กฟผ) </t>
  </si>
  <si>
    <t xml:space="preserve">เงินงวดพิเศษ ก. ตามสัญญาที่ 
RDG59D0013 เรื่อง การศึกษาความ
เป็นไปได้ของโรงไฟฟ้าฟาร์มกังหันลมใกล้
ชายฝั่งทะเลและนอกชายฝั่งทะเลอ่าวไทย 
(ระยะที่สอง) : การวิเคราะห์ลม การประเมิน
ทางเทคนิคและกระบวนการประเมิน
ทางสิ่งแวดล้อมในพื้นที่ที่มีศักยภาพ </t>
  </si>
  <si>
    <t>PR2-2562:7/13</t>
  </si>
  <si>
    <t>สำนักงานกองทุนสนับสนุนการวิจัย (สกว)</t>
  </si>
  <si>
    <t>PR2-2562:7/11</t>
  </si>
  <si>
    <t>RV02050200362080155</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</si>
  <si>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2
</t>
    </r>
    <r>
      <rPr>
        <b/>
        <sz val="13"/>
        <color theme="1"/>
        <rFont val="TH SarabunPSK"/>
        <family val="2"/>
      </rPr>
      <t>(วงเงินรวม 1,258,000.00 บ.)</t>
    </r>
  </si>
  <si>
    <t>29/08/2562</t>
  </si>
  <si>
    <t>PR2-2562:7/28</t>
  </si>
  <si>
    <t>RV02050200362080326</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</si>
  <si>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3 (งวดสุดท้าย)
</t>
    </r>
    <r>
      <rPr>
        <b/>
        <sz val="13"/>
        <color theme="1"/>
        <rFont val="TH SarabunPSK"/>
        <family val="2"/>
      </rPr>
      <t>(วงเงินรวม 1,258,000.00 บ.)</t>
    </r>
  </si>
  <si>
    <t>PR2-2562:7/47</t>
  </si>
  <si>
    <t>RV02050200362090260</t>
  </si>
  <si>
    <r>
      <t xml:space="preserve">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2
</t>
    </r>
    <r>
      <rPr>
        <b/>
        <sz val="13"/>
        <color theme="1"/>
        <rFont val="TH SarabunPSK"/>
        <family val="2"/>
      </rPr>
      <t>วงเงินตามงบประมาณ 433,400 บาท</t>
    </r>
  </si>
  <si>
    <t>รวมยอดเงินรับรายได้ประเภททุนสนับสนุนเพื่อการวิจัยระหว่างเดือนตุลาคม 2561 - กันยายน 2562 เป็นเงินทั้งสิ้น</t>
  </si>
  <si>
    <t>(นางสาวอุไรวรรณ สุวรรณมณี)</t>
  </si>
  <si>
    <t>(นางสาวศกลวรรณ  ดำนุ้ย)</t>
  </si>
  <si>
    <t>นักวิชาการเงินและบัญชี</t>
  </si>
  <si>
    <t>ทะเบียนคุมเงินทุนวิจัยภายนอก  (เริ่มเก็บข้อมูลวันที่ 22 กันยายน 2557)</t>
  </si>
  <si>
    <t>เลขที่ใบสำคัญทั่วไป</t>
  </si>
  <si>
    <t>PR2-2557:12/6</t>
  </si>
  <si>
    <t>RV02050200357090382</t>
  </si>
  <si>
    <t>คณะเศรษฐศาสตร์ฯ</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</si>
  <si>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ตามใบเสร็จเลขที่1319/01-25,27,1318/03-09 ฝากเช็คผ่านธ.กรุงไทย082-4 วันที่ 28/8/57-1/9/57(90%เป็นงบดำเนินงาน=701,100/5%เป็นของกองทุนวิจัย=38,950)</t>
  </si>
  <si>
    <t>PR2-2557:12/7</t>
  </si>
  <si>
    <t>RV02050200357090384</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</si>
  <si>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ตามใบเสร็จเลขที่1319/26,28-31,1318/11 ฝากเช็คผ่านธ.กรุงไทย082-4 วันที่ 8/9/57(90%เป็นงบดำเนินงาน=135,000/5%เป็นของกองทุนวิจัย=7,500)</t>
  </si>
  <si>
    <t>PR2-2557:12/8</t>
  </si>
  <si>
    <t>RV02050200357090386</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</si>
  <si>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ตามใบเสร็จเลขที่1319/32,34,1318/12,14 ฝากเช็คผ่านธ.กรุงไทย082-4 วันที่ 11/9/57 (งบดำเนินงาน90%=90,000/กองทุนวิจัย5%=5,000)</t>
  </si>
  <si>
    <t>PR2-2557:12/13</t>
  </si>
  <si>
    <t>RV02050200357090447</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</si>
  <si>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ตามใบเสร็จเลขที่1319/35-37,1318/15 ฝากเช็คผ่านธ.082-4 วันที่ 23/9/57(90%เป็นงบดำเนินงาน=76,500/5%เป็นของกองทุนวิจัย=4,250)</t>
  </si>
  <si>
    <t>PR2-2558:1/8</t>
  </si>
  <si>
    <t>RV02050200358100115</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</si>
  <si>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ตามใบเสร็จเลขที่1319/38-50,1318/16-40,42 ฝากเช็คผ่านธ.082-4 วันที่ 16/10/57(90%เป็นงบดำเนินงาน=672,300/5%เป็นของกองทุนวิจัย=37,350)</t>
  </si>
  <si>
    <t>PR2-2558:1/17</t>
  </si>
  <si>
    <t>RV02050200358110167</t>
  </si>
  <si>
    <t>รับเงินสนับสนุนโครงการวิจัย เรื่องประเมินความพึงพอใจของผู้รับบริการที่ทีต่อการให้บริการขององค์การบริการส่วนตำบลหินตก อ.ร่อนพิบูลย์ จ.นครศรีธรรมราช ตามใบเสร็จ PL2-2558:1/17(เข้าทุนวิจัยภายนอก=22,500,เข้าสถาบันวิจัย=1,250.-)</t>
  </si>
  <si>
    <t>PR2-2558:1/24</t>
  </si>
  <si>
    <t>RV02050200358120028</t>
  </si>
  <si>
    <t>คณะเทคโนโลยี</t>
  </si>
  <si>
    <t>รับเงินสนับสนุนงานวิจัยจากภายนอก เรื่อง โรงงานต้นแบบระบบเซลล์เชื้อเพลิงจุลชีพแบบยูบีเอฟฯ- อ.ชลธิศา สุขเกษม จากสำนักวิจัยและพัฒนา ม.สงขลานครินทร์ โอนผ่านธ.กรุงไทย043-9 วันที่19/11/57=349,988.- ฝากเงินค่าธรรมเนียม 12 บาท เข้า วันที่1/12/57</t>
  </si>
  <si>
    <t>PR2-2558:2/1</t>
  </si>
  <si>
    <t>RV02050200358010083</t>
  </si>
  <si>
    <t>รับเงินทุนวิจัยภายนอก อ.จันทวรรณ น้อยศรี ทุนพัฒนาและวิศวกรรม-สนง.พัฒนาวิทยาศาสตร์และเทคโนโลยีแห่งชาติ เงินโอนผ่านธ.กรุงไทย082-4 วันที่ 8ธค.57(งบดำเนินงาน=145,800.-/กองทุนวิจัยม.ทักษิณ=15,000.-)</t>
  </si>
  <si>
    <t>PR2-2558:2/15</t>
  </si>
  <si>
    <t>RV02050200358020006</t>
  </si>
  <si>
    <t>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</si>
  <si>
    <t>PL2-2558:1/2</t>
  </si>
  <si>
    <t>RV02050200358040047</t>
  </si>
  <si>
    <t>รับเงินโอนโครงการวิจัยเชิงสำรวจ สำรวจความพึงพอใจของประชาชนต่อผลการดำเนินงานของเทศบาลเมืองเขารูปช้าง-คณะเศรษฐศาสตร์ฯ (เงินเข้าทุนวิจัยภายนอก90%=13,500 บาท และเข้ากองทุนวิจัย5%=750 บาท) ฝากเช็คเข้า ธ.กรุงไทย 082-4 วันที่ 30/3/58</t>
  </si>
  <si>
    <t>PR2-2558:3/18</t>
  </si>
  <si>
    <t>RV02050200358050144</t>
  </si>
  <si>
    <t>รับเงินทุนอุดหนุนการวิจัยจาก สกว.เรื่องการศึกษาความเป็นไปได้ของโรงไฟฟ้าฟาร์มกังหันลมใกล้ชายฝั่งทะเลฯ เฟส1 โอนผ่านธ.กรุง 043-9 วันที่ 17 และ 21 เมย.58 งบประมาณค่าตอบแทนส่วนของมหาวิทยาลัย-สถาบันวิจัยฯ 25%=130,902 บาท</t>
  </si>
  <si>
    <t>PL2-2558:3/27</t>
  </si>
  <si>
    <t>RV02050200358060007</t>
  </si>
  <si>
    <t>รับเงินทุนวิจัยภายนอกโครงการวิจัยเรื่อง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 PR2-2558:3/27 โอนผ่าน ธ.ไทยพษาณิชย์626-0 (งบดำเนินการวิจัย90%/เข้ากองทุนวิจัย10%)</t>
  </si>
  <si>
    <t>RV02050200358060126</t>
  </si>
  <si>
    <t>รับเงินค่าที่ปรึกษาดำเนินการสำรวจและรวบรวมผลงานวิจัยและพัฒนานวัตกรรมทางการศึกษาฯ โอนฝาก ธ.กรุงไทย 082-4 วันที่8/6/58 (งบดำเนินงาน90%=38,475.- /กองทุนวิจัยม.ทักษิณ5%=2,137.50/ส่วนงานคณะศึกษาศาสตร์5%=2,137.50)</t>
  </si>
  <si>
    <t>PL2-2558:1/4</t>
  </si>
  <si>
    <t>RV02050200358090249</t>
  </si>
  <si>
    <t>รับเงินทุนวิจัยภายนอก เรื่องสำรวจความพึงพอใจของประชาชนที่มีผลต่อการดำเนินงานขององค์กรปกครองส่วนท้องถิ่น โอนผ่าน ธ.กรุงไทย082-4 วันที่10-11 กย.58 เงินเข้าทุนวิจัยภายนอก90,000.-/เข้ากองทุน5,000.-</t>
  </si>
  <si>
    <t>PL1-2558:4/42</t>
  </si>
  <si>
    <t>RV02050200358090368</t>
  </si>
  <si>
    <t>รับเงินทุนวิจัยภายนอก เรื่องสำรวจความพึงพอใจของประชาชนที่มีผลต่อการดำเนินงานขององค์กรปกครองส่วนท้องถิ่น 1 องค์กร เงินเข้าทุนวิจัยภายนอก9,000.-/เข้ากองทุน500.- และเข้าหน่วยงานต้นสังกัด 500.- PL1-2558:4/42</t>
  </si>
  <si>
    <t>PL2-2558:1/5</t>
  </si>
  <si>
    <t>RV02050200358090370</t>
  </si>
  <si>
    <t>รับเงินทุนวิจัยภายนอก เรื่องสำรวจความพึงพอใจของประชาชนที่มีผลต่อการดำเนินงานขององค์กรปกครองส่วนท้องถิ่น 5 องค์กร โอนผ่าน ธ.กรุงไทย082-4 วันที่21 กย.58 เงินเข้าทุนวิจัยภายนอก94,500.-/เข้ากองทุน5,250.- และเงินเข้าส่วนงานคณะเศรษฐศาสตร์ฯ=5,250.- PL2-2558:1/5</t>
  </si>
  <si>
    <t>PR2-2558:5/3</t>
  </si>
  <si>
    <t>RV02050200358090451</t>
  </si>
  <si>
    <t>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</si>
  <si>
    <t>PR2-2558:4/8</t>
  </si>
  <si>
    <t>JV02050200358090174</t>
  </si>
  <si>
    <t>คณะวิทยาการสูขภาพและการกีฬา</t>
  </si>
  <si>
    <t>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</si>
  <si>
    <t>RV02050200359100008</t>
  </si>
  <si>
    <t>RV02050200359100086</t>
  </si>
  <si>
    <t>RV02050200359100117</t>
  </si>
  <si>
    <t>RV02050200359100153</t>
  </si>
  <si>
    <t>RV02050200359110095</t>
  </si>
  <si>
    <t>RV02050200359110132</t>
  </si>
  <si>
    <t>RV02050200359110230</t>
  </si>
  <si>
    <t>RV02050200359120190</t>
  </si>
  <si>
    <t>RV02050200359120223</t>
  </si>
  <si>
    <t>RV02050200359120259</t>
  </si>
  <si>
    <t>RV02050200359120311</t>
  </si>
  <si>
    <t>JV02050200359010067</t>
  </si>
  <si>
    <t>RV02050200359010024</t>
  </si>
  <si>
    <t>RV02050200359010077</t>
  </si>
  <si>
    <t>RV02050200359010192</t>
  </si>
  <si>
    <t>RV02050200359010208</t>
  </si>
  <si>
    <t>RV02050200359020205</t>
  </si>
  <si>
    <t>RV02050200359030100</t>
  </si>
  <si>
    <t>RV02050200359030217</t>
  </si>
  <si>
    <t>RV02050200359030282</t>
  </si>
  <si>
    <t>RV02050200359040012</t>
  </si>
  <si>
    <t>RV02050200359040014</t>
  </si>
  <si>
    <t>RV02050200359050045</t>
  </si>
  <si>
    <t>RV02050200359050110</t>
  </si>
  <si>
    <t>RV02050200359050184</t>
  </si>
  <si>
    <t>RV02050200359060072</t>
  </si>
  <si>
    <t>RV02050200359060202</t>
  </si>
  <si>
    <t>RV02050200359060280</t>
  </si>
  <si>
    <t>RV02050200359070366</t>
  </si>
  <si>
    <t>RV02050200359070372</t>
  </si>
  <si>
    <t>RV02050200359080027</t>
  </si>
  <si>
    <t>RV02050200359080342</t>
  </si>
  <si>
    <t>RV02050200359090146</t>
  </si>
  <si>
    <t>RV02050200359090157</t>
  </si>
  <si>
    <t>20/09/2559</t>
  </si>
  <si>
    <t>RV02050200359090401</t>
  </si>
  <si>
    <t>รับเงินโอนทุนวิจัยภายนอก จ้างสำรวจและรวบรวมผลงานวิจัยและพัฒนานวัตกรรมทางการศึกษา จาก สนง.เลขาธิการสภาการศึกษาโดย รศ.ดร.นิรันดร์ จุลทรัพย์ PR2-2559:6/44-45 ธ.กรุงไทย082-4 วันที่16/9/59 เข้าทุนวิจัยภายนอก4,725+262.50=4,987.50 บาท  เข้าคณะศึกษาศาสตร์=262.50 บาท</t>
  </si>
  <si>
    <t>27/09/2559</t>
  </si>
  <si>
    <t>RV02050200359090502</t>
  </si>
  <si>
    <t>28/09/2559</t>
  </si>
  <si>
    <t>RV02050200359090533</t>
  </si>
  <si>
    <t>RV02050200359090539</t>
  </si>
  <si>
    <t>RV02050200359090552</t>
  </si>
  <si>
    <t>29/09/2559</t>
  </si>
  <si>
    <t>RV02050200359090567</t>
  </si>
  <si>
    <t>รับเงินโอนทุนวิจัยภายนอก ทุนอุดหนุนโครงการวิจัยและพัฒนาภาครัฐร่วมเอกชนในเชิงพาณิชย์ ปี59 จากสำนักงานคณะกรรมการการวิจัยแห่งชาติ โดยผศ.ดร.อมรรัตน์ ถนนแก้ว PR2-2559:7/12 โอนผ่านธ.กรุงไทย082-4 วันที่16/9/59 เข้าทุนวิจัยภายนอก 280,000 บาท  ยกเว้นการหักค่าธรรมเนียมบำรุงสถาบันการศึกษา</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</si>
  <si>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t>
  </si>
  <si>
    <t>กรณีแหล่งทุนให้หักค่าธรรมเนียม
ตามระเบียบมหาวิทยาลัย
(10%หรือ16%จากยอดรับทั้งหมด)</t>
  </si>
  <si>
    <r>
      <rPr>
        <b/>
        <u/>
        <sz val="13"/>
        <color theme="1"/>
        <rFont val="Cordia New"/>
        <family val="2"/>
      </rPr>
      <t>ยกเว้น</t>
    </r>
    <r>
      <rPr>
        <b/>
        <sz val="13"/>
        <color theme="1"/>
        <rFont val="Cordia New"/>
        <family val="2"/>
      </rPr>
      <t xml:space="preserve">
ค่าธรรมเนียม
การวิจัย</t>
    </r>
  </si>
  <si>
    <t>PR2-2565:2/13</t>
  </si>
  <si>
    <t>RV00020900065100073</t>
  </si>
  <si>
    <t>อาจารย์ ดร.อภินันท์ เอื้ออังกูร</t>
  </si>
  <si>
    <t>องค์การอ็อกแฟม 
ประเทศไทย</t>
  </si>
  <si>
    <t>PL2-2565:1/8</t>
  </si>
  <si>
    <t>RV00020900065100132</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</si>
  <si>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t>
  </si>
  <si>
    <t>24/11/2564</t>
  </si>
  <si>
    <t>PL2-2565:1/23</t>
  </si>
  <si>
    <t>RV00020900065110139</t>
  </si>
  <si>
    <t>30/11/2564</t>
  </si>
  <si>
    <t>PR2-2565:5/3
-</t>
  </si>
  <si>
    <t>RV00020900065110164
JV00020900065110054</t>
  </si>
  <si>
    <t>สำนักงานการวิจัยแห่งชาติ 
(วช.)</t>
  </si>
  <si>
    <t>PR2-2565:5/7
-</t>
  </si>
  <si>
    <t>RV00020900065110165
JV00020900065110055</t>
  </si>
  <si>
    <t>อาจารย์ ปริยากรณ์ ชูแก้ว</t>
  </si>
  <si>
    <t>PR2-2565:5/6</t>
  </si>
  <si>
    <t>RV00020900065110166</t>
  </si>
  <si>
    <t>ผศ.ดร.ทวนธง ครุฑจ้อน</t>
  </si>
  <si>
    <t>เทศบาลตำบลสะบ้าย้อย</t>
  </si>
  <si>
    <t>05/11/2564</t>
  </si>
  <si>
    <t>PR2-2565:3/34</t>
  </si>
  <si>
    <t>RV00020900065110042</t>
  </si>
  <si>
    <t>DSM Singapore 
Industrial Pte. Ltd.</t>
  </si>
  <si>
    <t>28/01/2564</t>
  </si>
  <si>
    <t>PR2-2564:8/14</t>
  </si>
  <si>
    <t>RV00020900064010342</t>
  </si>
  <si>
    <t>วิทยาลัยการจัดการ
เพื่อการพัฒนา</t>
  </si>
  <si>
    <t>บริษัท ไอ.เอ็น.ดี.คอนซัลแตนท์ จำกัด</t>
  </si>
  <si>
    <t>ค่าธรรมเนียมร้อยละ 10 จากการวิจัยเรื่อง 
การบริหารจัดการขยะมูลฝอยที่มีประสิทธิภาพในพื้นที่จังหวัดพระนครศรีอยุธยา 
วงเงิน 400,000 บาท แต่เบิกจ่ายเพียงงวดที่ 1 
แบ่งจ่าย 200,000 บาท เนื่องจากบริษัทได้
ขอยกเลิกสัญญาการรับทุนวิจัย</t>
  </si>
  <si>
    <t>27/09/2564</t>
  </si>
  <si>
    <t>PR2-2564:21/7</t>
  </si>
  <si>
    <t>RV00020900064090242</t>
  </si>
  <si>
    <t>อ.ดร.จารุวรรณ ทองเนื้อแข็ง</t>
  </si>
  <si>
    <t>สำนักงานสภานโยบายการ
อุดมศึกษา วิทยาศาสตร์ 
วิจัยและนวัตกรรมแห่งชาติ</t>
  </si>
  <si>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1
</t>
    </r>
    <r>
      <rPr>
        <b/>
        <sz val="13"/>
        <color theme="1"/>
        <rFont val="Cordia New"/>
        <family val="2"/>
      </rPr>
      <t xml:space="preserve">วงเงินทั้งสิ้น 559,130 บาท </t>
    </r>
  </si>
  <si>
    <t>ปรับปรุง
รายได้
และ
ค่าใช้จ่าย</t>
  </si>
  <si>
    <t>JV00020900064090262</t>
  </si>
  <si>
    <t xml:space="preserve">ปรับปรุงรายได้เพื่อการวิจัยจากแหล่งทุน
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การบริหารจัดการขยะมูลฝอย
ที่มีประสิทธิภาพในพื้นที่จังหวัดพระนครศรีอยุธยา งวดที่ 1 </t>
  </si>
  <si>
    <t>26/10/2563</t>
  </si>
  <si>
    <t>PL2-2564:1/8</t>
  </si>
  <si>
    <t>RV02050200364100158
RV02050200364100159</t>
  </si>
  <si>
    <t>03/11/2563</t>
  </si>
  <si>
    <t>PL2-2564:1/17</t>
  </si>
  <si>
    <t>RV02050200364110020
RV02050200364110021</t>
  </si>
  <si>
    <t>องค์กรปกครองส่วนท้องถิ่น
จำนวน 9 หน่วยงาน</t>
  </si>
  <si>
    <t>PL2-2563:1/22</t>
  </si>
  <si>
    <t>RV02050200364110027
RV02050200364110028</t>
  </si>
  <si>
    <t>PL2-2564:1/21</t>
  </si>
  <si>
    <t>RV02050200364110029</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</si>
  <si>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theme="1"/>
        <rFont val="Cordia New"/>
        <family val="2"/>
      </rPr>
      <t>(เงินประกันผลงาน)</t>
    </r>
  </si>
  <si>
    <t>PL2-2564:1/30</t>
  </si>
  <si>
    <t>RV00020900064110061
RV00020900064110062</t>
  </si>
  <si>
    <t>30/11/2563</t>
  </si>
  <si>
    <t>PL2-2564:1/45</t>
  </si>
  <si>
    <t>RV00020900064110178</t>
  </si>
  <si>
    <t>PL2-2564:1/44</t>
  </si>
  <si>
    <t>RV00020900064110180</t>
  </si>
  <si>
    <t>02/12/2563</t>
  </si>
  <si>
    <t>PR2-2564:4/36</t>
  </si>
  <si>
    <t>RV00020900064120013</t>
  </si>
  <si>
    <t>ผศ.ดร.ศันสนีย์ จันทร์อานุภาพ</t>
  </si>
  <si>
    <t>มหาวิทยาลัยราชภัฎยะลา 
ภายใต้โครงการวิจัยและ
นวัตกรรมเพื่อถ่ายทอด
เทคโนโลยีสู่ชุมชนฐานราก</t>
  </si>
  <si>
    <r>
      <t xml:space="preserve">เงินสนับสนุนทุนวิจัย 1 โครงการ เรื่อง ผู้สูงอายุ
กับการลดความเสี่ยงจากการแพร่ระบาดของ
โรคติดเชื้อโควิด-19 (Elderly and COVID-19 Pandemic Risk Reduction) 
</t>
    </r>
    <r>
      <rPr>
        <b/>
        <sz val="13"/>
        <color theme="1"/>
        <rFont val="Cordia New"/>
        <family val="2"/>
      </rPr>
      <t xml:space="preserve">เป็นเงินทั้งสิ้น 152,000.00 บาท </t>
    </r>
    <r>
      <rPr>
        <sz val="13"/>
        <color theme="1"/>
        <rFont val="Cordia New"/>
        <family val="2"/>
      </rPr>
      <t xml:space="preserve">
</t>
    </r>
    <r>
      <rPr>
        <b/>
        <sz val="13"/>
        <color rgb="FFFF0000"/>
        <rFont val="Cordia New"/>
        <family val="2"/>
      </rPr>
      <t>(ไม่หักค่าธรรมเนียมวิจัยร้อยละ 10)</t>
    </r>
  </si>
  <si>
    <t>09/12/2563</t>
  </si>
  <si>
    <t>PR2-2564:5/24</t>
  </si>
  <si>
    <t>RV00020900064120104</t>
  </si>
  <si>
    <t>รศ.ดร.รุ่งรัชดาพร เวหะชาติ</t>
  </si>
  <si>
    <t>สำนักงานเลขาธิการ
สภาการศึกษา</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</si>
  <si>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3
วงเงินงบประมาณทั้งสิ้น 2,000,000.00 บาท</t>
  </si>
  <si>
    <t>14/12/2563</t>
  </si>
  <si>
    <t>PR2-2564:5/27</t>
  </si>
  <si>
    <t>RV00020900064120112</t>
  </si>
  <si>
    <t>อ.ดร.ทวนธง ครุฑจ้อน</t>
  </si>
  <si>
    <t xml:space="preserve">องค์การบริหารส่วน
จังหวัดภูเก็ต </t>
  </si>
  <si>
    <t>ตามสัญญาจ้างผู้เชี่ยวชาญรายบุคคลหรือ
จ้างบริษัทที่ปรึกษา เลขที่ 0003/2563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พ.ศ.2563 วงเงินตามสัญญา 79,092.00 บาท</t>
  </si>
  <si>
    <t>PL2-2564:2/9</t>
  </si>
  <si>
    <t>RV00020900064120115</t>
  </si>
  <si>
    <t>PL2-2564:2/8</t>
  </si>
  <si>
    <t>RV00020900064120226</t>
  </si>
  <si>
    <t>25/12/2563</t>
  </si>
  <si>
    <t>PL2-2564:2/31</t>
  </si>
  <si>
    <t>RV00020900064120245</t>
  </si>
  <si>
    <t>PL2-2564:2/29</t>
  </si>
  <si>
    <t>RV00020900064120246</t>
  </si>
  <si>
    <t>06/01/2564</t>
  </si>
  <si>
    <t>PL2-2564:2/41</t>
  </si>
  <si>
    <t>RV00020900064010028</t>
  </si>
  <si>
    <t>07/01/2564</t>
  </si>
  <si>
    <t>PR2-2564:6/43</t>
  </si>
  <si>
    <t>RV00020900064010067</t>
  </si>
  <si>
    <t>เงินสนับสนุนเพื่อการวิจัย เรื่อง การศึกษารูปแบบการจัดจำหน่ายสัตว์น้ำเศรษฐกิจที่
โตไม่ได้ขนาดในประเทศไทย งวดที่ 3
วงเงินงบประมาณทั้งสิ้น 653,400 บาท</t>
  </si>
  <si>
    <t>11/01/2564</t>
  </si>
  <si>
    <t>PR2-2564:7/14</t>
  </si>
  <si>
    <t>RV00020900064010138</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</si>
  <si>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4
วงเงินงบประมาณทั้งสิ้น 2,000,000.00 บาท</t>
  </si>
  <si>
    <t>PR2-2564:7/15</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</si>
  <si>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(เงินประกันงวด4)
วงเงินงบประมาณทั้งสิ้น 2,000,000.00 บาท</t>
  </si>
  <si>
    <t>15/01/2564</t>
  </si>
  <si>
    <t>PL2-2564:3/10</t>
  </si>
  <si>
    <t>RV00020900064010182</t>
  </si>
  <si>
    <t>02/02/2564</t>
  </si>
  <si>
    <t>PR2-2564:8/23</t>
  </si>
  <si>
    <t>RV00020900064020032</t>
  </si>
  <si>
    <t>03/02/2564</t>
  </si>
  <si>
    <t>PR2-2564:9/9</t>
  </si>
  <si>
    <t>RV00020900064020042</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</si>
  <si>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(เงินประกันงวด3)
วงเงินงบประมาณทั้งสิ้น 2,000,000.00 บาท</t>
  </si>
  <si>
    <t>16/02/2564</t>
  </si>
  <si>
    <t>PR2-2564:9/45</t>
  </si>
  <si>
    <t>RV00020900064020123</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</si>
  <si>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(เงินประกันงวด2)
วงเงินงบประมาณทั้งสิ้น 2,000,000.00 บาท</t>
  </si>
  <si>
    <t>PR2-2564:9/44</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</si>
  <si>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(เงินประกันงวด1)
วงเงินงบประมาณทั้งสิ้น 2,000,000.00 บาท</t>
  </si>
  <si>
    <t>22/02/2564</t>
  </si>
  <si>
    <t>PR2-2564:10/8</t>
  </si>
  <si>
    <t>RV00020900064020166</t>
  </si>
  <si>
    <t>สำนักงานปลัดกระทรวง
การอุดมศึกษา วิทยาศาสตร์ 
วิจัยและนวัตกรรม</t>
  </si>
  <si>
    <r>
      <t xml:space="preserve">ตามบันทึกข้อตกลงความร่วมมือ โครงการ
พัฒนาสื่อต้นแบบ ภายใต้โครงการพัฒนา
คุณภาพการศึกษาและการพัฒนาท้องถิ่น 
โดยมีสถาบันอุดมศึกษาเป็นพี่เลี้ยง 
</t>
    </r>
    <r>
      <rPr>
        <b/>
        <sz val="13"/>
        <color theme="1"/>
        <rFont val="Cordia New"/>
        <family val="2"/>
      </rPr>
      <t xml:space="preserve"> วงเงินงบประมาณทั้งสิ้น 70,000 บาท </t>
    </r>
  </si>
  <si>
    <t>01/03/2564</t>
  </si>
  <si>
    <t>PR2-2564:10/26</t>
  </si>
  <si>
    <t>RV00020900064030005</t>
  </si>
  <si>
    <t>ผศ.เสริมศักดิ์ ขุนพล</t>
  </si>
  <si>
    <t>สำนักงานกองทุนสนับสนุน
การสร้างเสริมสุขภาพ (สสส.)
ศูนย์วิจัยปัญหาสุรา</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</si>
  <si>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2 
</t>
    </r>
    <r>
      <rPr>
        <b/>
        <sz val="13"/>
        <color theme="1"/>
        <rFont val="Cordia New"/>
        <family val="2"/>
      </rPr>
      <t>งบประมาณทั้งสิ้น 442,200 บ.</t>
    </r>
    <r>
      <rPr>
        <sz val="13"/>
        <color theme="1"/>
        <rFont val="Cordia New"/>
        <family val="2"/>
      </rPr>
      <t xml:space="preserve"> </t>
    </r>
  </si>
  <si>
    <t>11/03/2564</t>
  </si>
  <si>
    <t>PL2-2564:4/3</t>
  </si>
  <si>
    <t>RV00020900064030119</t>
  </si>
  <si>
    <t>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พ.ศ.2564</t>
  </si>
  <si>
    <t>17/03/2564</t>
  </si>
  <si>
    <t>PR2-2564:12/15</t>
  </si>
  <si>
    <t>RV00020900064030153</t>
  </si>
  <si>
    <t>สถาบันส่งเสริมการสอน
วิทยาศาสตร์และเทคโนโลยี 
(สสวท.)</t>
  </si>
  <si>
    <r>
      <t xml:space="preserve">ทุนอุดหนุนโครงการเพิ่มศักยภาพครูให้มี
สมรรถนะของครูยุคใหม่สำหรับการเรียนรู้
ศตวรรษที่ 21  เรื่อง การพัฒนาศูนย์การเรียนรู้
ฐานสมรรถนะวิทยาศาสตร์ คณิตศาสตร์และ
เทคโนโลยี (SMT) สู่อาชีพของเยาวชนให้มีวิถี
ชีวิตโดยใช้ปรัชญาเศรษฐกิจพอเพียง 
พื้นที่เกาะหลีเป๊ะ 
</t>
    </r>
    <r>
      <rPr>
        <b/>
        <sz val="13"/>
        <color theme="1"/>
        <rFont val="Cordia New"/>
        <family val="2"/>
      </rPr>
      <t>งบประมาณทั้งสิ้น 1,000,000 บาท</t>
    </r>
  </si>
  <si>
    <t>24/03/2564</t>
  </si>
  <si>
    <t>PR2-2564:13/9</t>
  </si>
  <si>
    <t>RV00020900064030268</t>
  </si>
  <si>
    <t>อาจารย์วีณา ลีลาประเสริฐศิลป์</t>
  </si>
  <si>
    <t>สถาบันการอาชีวศึกษา
ภาคใต้ 3 สำนักงาน
คณะกรรมการการ
อาชีวศึกษา 
กระทรวงศึกษาธิการ</t>
  </si>
  <si>
    <r>
      <t xml:space="preserve">ตามบันทึกข้อตกลงจ้าง เลขที่ งปม.13/2563
จ้างให้ปฏิบัติงานในโครงการพัฒนาศักยภาพ
การรับรู้ด้านการจัดการศึกษาของสถาบันการ
อาชีวศึกษาภาคใต้ 3 เพื่อรองรับการพัฒนา
พื้นที่ระเบียงเศรษฐกิจภาคใต้อย่างยั่งยืน 
โครงการย่อย : งานวิจัยและพัฒนาหลักสูตร
ปริญญาตรี สาขาการจัดการโลจิสติกส์ 
</t>
    </r>
    <r>
      <rPr>
        <b/>
        <sz val="13"/>
        <color theme="1"/>
        <rFont val="Cordia New"/>
        <family val="2"/>
      </rPr>
      <t>โดยนำส่งเพียงเงินค่าธรรมเนียมการวิจัย
ร้อยละ 10 จากวงเงินงบประมาณทั้งสิ้น 
240,000 บาท</t>
    </r>
  </si>
  <si>
    <t>23/04/2564</t>
  </si>
  <si>
    <t>เล่มที่ 1017
เลขที่ 35</t>
  </si>
  <si>
    <t>RV00020900064040145</t>
  </si>
  <si>
    <t>องค์การบริหารส่วน
จังหวัดภูเก็ต</t>
  </si>
  <si>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
บริการส่วนจังหวัดภูเก็ต ประจำปีงบประมาณ พ.ศ.2564 งวดที่ 1
</t>
    </r>
    <r>
      <rPr>
        <b/>
        <sz val="13"/>
        <color theme="1"/>
        <rFont val="Cordia New"/>
        <family val="2"/>
      </rPr>
      <t/>
    </r>
  </si>
  <si>
    <t>27/04/2564</t>
  </si>
  <si>
    <t>เล่มที่ 1017
เลขที่ 38</t>
  </si>
  <si>
    <t>RV00020900064040151</t>
  </si>
  <si>
    <t>อ.ดร.อภิรัตน์ดา ทองแกมแก้ว</t>
  </si>
  <si>
    <t>สถาบันทดสอบทาง
การศึกษาแห่งชาติ 
(องค์การมหาชน)</t>
  </si>
  <si>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1 
</t>
    </r>
    <r>
      <rPr>
        <b/>
        <sz val="13"/>
        <color theme="1"/>
        <rFont val="Cordia New"/>
        <family val="2"/>
      </rPr>
      <t>งบสนับสนุนจำนวน 201,440 บาท</t>
    </r>
  </si>
  <si>
    <t>06/05/2564</t>
  </si>
  <si>
    <t>เล่มที่ 1100 
เลขที่ 43</t>
  </si>
  <si>
    <t>RV00020900064050031</t>
  </si>
  <si>
    <t>ศูนย์ศึกษาปัญหา
การเสพติด</t>
  </si>
  <si>
    <r>
      <t xml:space="preserve">ตามข้อตกลงดำเนินงานสร้างเสริมสุขภาพ
เลขที่ 62-01619-0008 โครงการการสร้างสรรค์
สื่อรณรงค์แบบมีส่วนร่วมเพื่อสร้างความเข้าใจ
และลดปัญญาการเสพน้ำกระท่อมในกลุ่ม
เยาวชนพื้นที่เสี่ยงของจังหวัดสงขลา 
งวดที่ 2-3 </t>
    </r>
    <r>
      <rPr>
        <b/>
        <sz val="13"/>
        <color theme="1"/>
        <rFont val="Cordia New"/>
        <family val="2"/>
      </rPr>
      <t xml:space="preserve">วงเงินทั้งสิ้น 130,900 บาท </t>
    </r>
  </si>
  <si>
    <t>13/05/2564</t>
  </si>
  <si>
    <t>เล่มที่ 1101 
เลขที่ 13</t>
  </si>
  <si>
    <t>RV00020900064050065</t>
  </si>
  <si>
    <t>สำนักงานกองทุน
สนับสนุนการสร้างเสริม
สุขภาพ (สสส.) ภายใต้
โครงการศูนย์ศึกษา
ปัญหาสุรา (ศวส.)</t>
  </si>
  <si>
    <r>
      <t xml:space="preserve">ตามข้อตกลงดำเนินงานสร้างเสริมสุขภาพ 
เลขที่ 61-02029-0092 โครงการรูปแบบการ
นำเสนอและผลสะท้อนกลับของโฆษณาตรา
เสมือนธุรกิจเครื่องดื่มแอลกอฮอล์ใน
ประเทศไทย งวดที่ 1 
</t>
    </r>
    <r>
      <rPr>
        <b/>
        <sz val="13"/>
        <color theme="1"/>
        <rFont val="Cordia New"/>
        <family val="2"/>
      </rPr>
      <t xml:space="preserve">วงเงินทั้งสิ้น 192,500 บาท </t>
    </r>
  </si>
  <si>
    <t>07/06/2564</t>
  </si>
  <si>
    <t>เล่มที่ 1102 
เลขที่ 47</t>
  </si>
  <si>
    <t>RV00020900064060032</t>
  </si>
  <si>
    <t>29/06/2564</t>
  </si>
  <si>
    <t>เล่มที่ 1103 
เลขที่ 32</t>
  </si>
  <si>
    <t>RV00020900064060113</t>
  </si>
  <si>
    <t>เครือข่ายอุดมศึกษา
ภาคใต้ตอนล่าง</t>
  </si>
  <si>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สำหรับเด็กศึกษา 
(พระบาทสมเด็จพระปรมินทรภูมิพล- อดุลยเดช 
รัชกาลที่ 9) ในจังหวัดสงขลาและพัทลุง งวดที่ 1 
</t>
    </r>
    <r>
      <rPr>
        <b/>
        <sz val="13"/>
        <color theme="1"/>
        <rFont val="Cordia New"/>
        <family val="2"/>
      </rPr>
      <t>วงเงินทั้งสิน 550,000 บาท</t>
    </r>
  </si>
  <si>
    <t>เล่มที่ 1103 
เลขที่ 33</t>
  </si>
  <si>
    <t>RV00020900064060115</t>
  </si>
  <si>
    <t>คณะเศรษฐศาสตร์และ
บริหารธุรกิจ</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</si>
  <si>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กระบวนการเพิ่มมูลค่านา
อินทรีย์: น้ำผึ้งดอกข้าวและน้ำผึ้งโพรงของ
เครือข่ายชาวนาและเยาวชนนาอินทรีย์ 
บ้านละหา อำเภอแว้ง จังหวัดนราธิวาส </t>
    </r>
    <r>
      <rPr>
        <b/>
        <sz val="13"/>
        <color theme="1"/>
        <rFont val="Cordia New"/>
        <family val="2"/>
      </rPr>
      <t>งบประมาณทั้งสิ้น 352,100 บาท</t>
    </r>
  </si>
  <si>
    <t>06/07/2564</t>
  </si>
  <si>
    <t>PR2-2564:15/41</t>
  </si>
  <si>
    <t>RV00020900064070082</t>
  </si>
  <si>
    <t>ผศ.ดร.แจ่มจันทร์ เพชรศิริ</t>
  </si>
  <si>
    <t>บริษัท เซาท์เทอร์น ซีฟูด 
โปรดักส์ จำกัด</t>
  </si>
  <si>
    <r>
      <t xml:space="preserve">กรณีรับทุนวิจัยจากกองทุนวิจัยมหาวิทยาลัย
ทักษิณ ประจำปีงบประมาณ2564 แต่ร่วมทุน
กับบริษัทภายนอก ประเภททุนต่อยอดงานวิจัย
และนวัตกรรมในเชิงพาณิชย์ เรื่อง อาหารปลา
สำเร็จรูปโปรตีนสูงจากเศษเหลือจากการแปร
รูปปลาทะเล 
</t>
    </r>
    <r>
      <rPr>
        <b/>
        <sz val="13"/>
        <color rgb="FFFF0000"/>
        <rFont val="Cordia New"/>
        <family val="2"/>
      </rPr>
      <t>(กรณีร่วมทุนจากภายนอกจะไม่มีการหักค่าธรรมเนียมวิจัย)</t>
    </r>
  </si>
  <si>
    <t>19/08/2564</t>
  </si>
  <si>
    <t>เล่มที่ 1108
เลขที่ 26</t>
  </si>
  <si>
    <t>RV00020900064080110</t>
  </si>
  <si>
    <t>นางสาวศิรดา นวลประดิษฐ์</t>
  </si>
  <si>
    <t>สำนักงานปลัดกระทรวง
อุดมศึกษาวิทยาศาสตร์ 
วิจัยและนวัตกรรม</t>
  </si>
  <si>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t>
    </r>
    <r>
      <rPr>
        <b/>
        <sz val="13"/>
        <color theme="1"/>
        <rFont val="Cordia New"/>
        <family val="2"/>
      </rPr>
      <t>งบประมาณทั้งสิ้น 600,000.00 บาท</t>
    </r>
    <r>
      <rPr>
        <sz val="13"/>
        <color theme="1"/>
        <rFont val="Cordia New"/>
        <family val="2"/>
      </rPr>
      <t xml:space="preserve"> </t>
    </r>
  </si>
  <si>
    <t>30/08/2564</t>
  </si>
  <si>
    <t>PR2-2564:18/15</t>
  </si>
  <si>
    <t>RV00020900064080192</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</si>
  <si>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2564 
โดยวิธีเฉพาะเจาะจง งวดที่ 2
</t>
    </r>
    <r>
      <rPr>
        <b/>
        <sz val="13"/>
        <color theme="1"/>
        <rFont val="Cordia New"/>
        <family val="2"/>
      </rPr>
      <t>วงเงินทั้งสิ้น 1,500,000 บาท</t>
    </r>
  </si>
  <si>
    <t>PR2-2564:18/16</t>
  </si>
  <si>
    <t>RV00020900064080193</t>
  </si>
  <si>
    <t>ผศ.ดร.ทวนธง ครฑจ้อน</t>
  </si>
  <si>
    <t>สำนักงานปลัดกระทรวงการอุดมศึกษา วิทยาศาสตร์ วิจัยและนวัตกรรม</t>
  </si>
  <si>
    <r>
      <t xml:space="preserve">บันทึกข้อตกลงความร่วมมือโครงการส่งเสริม
การเลี้ยงปศุสัตว์ภาคใต้ชายแดน (การใช้เทคโนโลยีและนวัตกรรมยกระดับมาตรฐาน
การผลิตและพัฒนาศักยภาพการพัฒนาผลิตภัณฑ์ปศุสัตว์สู่เชิงพาณิชย์ ประจำปีงบประมาณ 2564 
</t>
    </r>
    <r>
      <rPr>
        <b/>
        <sz val="13"/>
        <color theme="1"/>
        <rFont val="Cordia New"/>
        <family val="2"/>
      </rPr>
      <t xml:space="preserve">วงเงินตามสัญญา 1,210,100 บาท </t>
    </r>
  </si>
  <si>
    <t>16/09/2564</t>
  </si>
  <si>
    <t>PL2-2564:4/33</t>
  </si>
  <si>
    <t>RV00020900064090129</t>
  </si>
  <si>
    <t>28/09/2564</t>
  </si>
  <si>
    <t>PL2-2564:4/36</t>
  </si>
  <si>
    <t>RV00020900064090275</t>
  </si>
  <si>
    <t>29/09/2564</t>
  </si>
  <si>
    <t>30/09/2564</t>
  </si>
  <si>
    <t>PR2-2564:21/29</t>
  </si>
  <si>
    <t>RV00020900064090287</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</si>
  <si>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งวดที่ 3
</t>
    </r>
    <r>
      <rPr>
        <b/>
        <sz val="13"/>
        <color theme="1"/>
        <rFont val="Cordia New"/>
        <family val="2"/>
      </rPr>
      <t xml:space="preserve">วงเงินทั้งสิ้น 1,500,000 บาท </t>
    </r>
  </si>
  <si>
    <t>PR2-2564:22/33</t>
  </si>
  <si>
    <t>RV00020900064090351</t>
  </si>
  <si>
    <t>สำนักงานคณะกรรมการ
ส่งเสริมวิทยาศาสตร์ วิจัย
และนวัตกรรม (สกสว.)</t>
  </si>
  <si>
    <t xml:space="preserve">เงินงวดพิเศษ ก . ตามสัญญาเลขที่ 
RDG5610014 เรื่อง การเคลื่อนย้ายแรงงาน
ไทยระดับทักษะสูงจากจังหวัดชายแดน
ภาคใต้ไปประเทศมาเลเซีย </t>
  </si>
  <si>
    <t>PR2-2564:22/34</t>
  </si>
  <si>
    <t>RV00020900064090353</t>
  </si>
  <si>
    <t>อ.ดร.เสาวรส ยิ่งวรรณะ</t>
  </si>
  <si>
    <t xml:space="preserve">เงินงวดพิเศษ ก . ตามสัญญาเลขที่ 
RDG6240039 เรื่อง การพัฒนาความสามารถ
ของครูในการประเมินเพื่อพัฒนาทักษะใน
ศตวรรษที่ 21 ของนักเรียน </t>
  </si>
  <si>
    <t>รายได้ค้างรับ</t>
  </si>
  <si>
    <t>JV00020900064090207</t>
  </si>
  <si>
    <t>องค์กรปกครองส่วนท้องถิ่น
จำนวน 115 หน่วยงาน</t>
  </si>
  <si>
    <t>JV00020900064090208</t>
  </si>
  <si>
    <t xml:space="preserve">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พ.ศ.2564 </t>
  </si>
  <si>
    <t>JV00020900064090210</t>
  </si>
  <si>
    <t>ผศ.เจษฎา ทองขาว</t>
  </si>
  <si>
    <t>กรมคุ้มครองสิทธิและ
เสรีภาพ กระทรวงยุติธรรม</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</si>
  <si>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สำหรับค่าจ้างล่วงหน้า
</t>
    </r>
    <r>
      <rPr>
        <b/>
        <sz val="13"/>
        <color theme="1"/>
        <rFont val="Cordia New"/>
        <family val="2"/>
      </rPr>
      <t xml:space="preserve">งบประมาณทั้งสิ้น 499,444 บาท </t>
    </r>
  </si>
  <si>
    <t>JV00020900064090211</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</si>
  <si>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1
</t>
    </r>
    <r>
      <rPr>
        <b/>
        <sz val="13"/>
        <color theme="1"/>
        <rFont val="Cordia New"/>
        <family val="2"/>
      </rPr>
      <t xml:space="preserve">งบประมาณทั้งสิ้น 499,444 บาท </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</si>
  <si>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สำหรับโครงการพัฒนาศักยภาพการรับรู้
ด้านการจัดการศึกษาของสถาบันการอาชีวศึกษาภาคใต้ 3 เพื่อรองรับการพัฒนาพื้นที่ระเบียงเศรษฐกิจภาคใต้อย่างยั่งยืน โครงการย่อย : งานวิจัยและพัฒนาหลักสูตรปริญญาตรี สาขาการจัดการโลจิสติกส์ </t>
  </si>
  <si>
    <t xml:space="preserve">สำนักงานการวิจัยแห่งชาติ (วช.) </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</si>
  <si>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กระบวนการเพิ่มมูลค่านา
อินทรีย์: น้ำผึ้งดอกข้าวและน้ำผึ้งโพรงของเครือข่ายชาวนาและเยาวชนนาอินทรีย์ 
บ้านละหา อำเภอแว้ง จังหวัดนราธิวาส งบประมาณทั้งสิ้น 352,100 บาท </t>
  </si>
  <si>
    <t>12/11/2563</t>
  </si>
  <si>
    <t>PR2-2564:3/30</t>
  </si>
  <si>
    <t>RV00020900064110053</t>
  </si>
  <si>
    <t>อาจารย์ ดร.การะเกด แก้วใหญ่</t>
  </si>
  <si>
    <t>สำนักงานพัฒนา
วิทยาศาสตร์และเทคโนโลยี
แห่งชาติ (สวทช.)</t>
  </si>
  <si>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1
</t>
    </r>
    <r>
      <rPr>
        <b/>
        <sz val="13"/>
        <color theme="1"/>
        <rFont val="Cordia New"/>
        <family val="2"/>
      </rPr>
      <t xml:space="preserve">งบประมาณทั้งสิ้น 250,000.00 บาท </t>
    </r>
    <r>
      <rPr>
        <sz val="13"/>
        <color theme="1"/>
        <rFont val="Cordia New"/>
        <family val="2"/>
      </rPr>
      <t xml:space="preserve">
(งบบริหารจัดการจำนวนเงิน 30,000 บ.)</t>
    </r>
  </si>
  <si>
    <t>18/11/2563</t>
  </si>
  <si>
    <t>PR2-2564:3/35</t>
  </si>
  <si>
    <t>RV00020900064110096</t>
  </si>
  <si>
    <t>นางสาวเบ็ญจวรรณ บัวขวัญ</t>
  </si>
  <si>
    <t>สำนักส่งเสริมการบริการวิชาการและภูมิปัญญา
ชุมชน</t>
  </si>
  <si>
    <t>กรมการแพทย์แผนไทย
และการแพทย์ทางเลือก 
กระทรวงสาธารณสุข</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</si>
  <si>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ตามสัญญาเลขที่ 
กภท.10/2563 โครงการสำรวจ ทำสำเนาดิจิทัล 
และปริวัตรเอกสารโบราณตำรับยาและตำรา
การแพทย์แผนไทย กลุ่มจังหวัดภาคใต้ ปีที่ 1 
</t>
    </r>
    <r>
      <rPr>
        <b/>
        <sz val="13"/>
        <color theme="1"/>
        <rFont val="Cordia New"/>
        <family val="2"/>
      </rPr>
      <t>ทุนวิจัยทั้งหมด 1,504,492.00 บาท</t>
    </r>
  </si>
  <si>
    <t>26/11/2563</t>
  </si>
  <si>
    <t>PR2-2564:4/18</t>
  </si>
  <si>
    <t>RV00020900064110162</t>
  </si>
  <si>
    <t>อาจารย์นิดา นุ้ยเด็น</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</si>
  <si>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สนับสนุนงานวิจัยเรื่อง ผลของน้ำมันระเหย
บางชนิดในประเทศไทยที่มีผลต่อสรีรวิทยา
และอารมณ์ความรู้สึก งวดสุดท้าย
</t>
    </r>
    <r>
      <rPr>
        <b/>
        <sz val="13"/>
        <color theme="1"/>
        <rFont val="Cordia New"/>
        <family val="2"/>
      </rPr>
      <t xml:space="preserve">งบประมาณทั้งสิ้น 400,000 บาท </t>
    </r>
  </si>
  <si>
    <t>08/12/2563</t>
  </si>
  <si>
    <t>PR2-2564:5/11</t>
  </si>
  <si>
    <t>RV00020900064120077</t>
  </si>
  <si>
    <t>สำนักงานการวิจัยแห่งชาติ</t>
  </si>
  <si>
    <r>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2
</t>
    </r>
    <r>
      <rPr>
        <b/>
        <sz val="13"/>
        <color theme="1"/>
        <rFont val="Cordia New"/>
        <family val="2"/>
      </rPr>
      <t xml:space="preserve">งบประมาณทั้งสิ้น 490,000.00 บาท </t>
    </r>
  </si>
  <si>
    <t>PR2-2564:5/25</t>
  </si>
  <si>
    <t>RV00020900064120103</t>
  </si>
  <si>
    <t>ทุนอุดหนุนดำเนินการวิจัยเรื่อง The effect of 
high levels of supplementation in diet on 
growth performance and feed utilization of 
Nile tilapia งวดที่ 3</t>
  </si>
  <si>
    <t>PR2-2564:6/12</t>
  </si>
  <si>
    <t>RV00020900064120248</t>
  </si>
  <si>
    <t xml:space="preserve">อาจารย์ ดร.ธวัชชัย คังฆะมะโณ </t>
  </si>
  <si>
    <t>สำนักงานพัฒนา
วิทยาศาสตร์และ
เทคโนโลยีแห่งชาติ</t>
  </si>
  <si>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t>
    </r>
    <r>
      <rPr>
        <b/>
        <sz val="13"/>
        <color theme="1"/>
        <rFont val="Cordia New"/>
        <family val="2"/>
      </rPr>
      <t>วงเงินตามสัญญา 250,000 บาท</t>
    </r>
    <r>
      <rPr>
        <sz val="13"/>
        <color theme="1"/>
        <rFont val="Cordia New"/>
        <family val="2"/>
      </rPr>
      <t xml:space="preserve">  งวดที่ 1</t>
    </r>
  </si>
  <si>
    <t>04/01/2564</t>
  </si>
  <si>
    <t>PR2-2564:6/16</t>
  </si>
  <si>
    <t>RV00020900064010008</t>
  </si>
  <si>
    <t xml:space="preserve">ผศ.ดร.สมพงศ์ โอทอง </t>
  </si>
  <si>
    <t xml:space="preserve">เงินงวดพิเศษ ก . ตามสัญญาเลขที่ 
RDG6050069 เรื่อง การพัฒนาระบบก๊าซ
ชีวภาพจากน้ำทิ้งโรงงานสกัดน้ำมันปาล์มดิบ
แบบสองขั้นตอนด้วยถังปฏิกรณ์สองชั้น </t>
  </si>
  <si>
    <t>23/02/2564</t>
  </si>
  <si>
    <t>PR2-2564:10/12</t>
  </si>
  <si>
    <t>RV00020900064020180</t>
  </si>
  <si>
    <t>สำนักงานวิจัยแห่งชาติ (วช.)</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</si>
  <si>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1
</t>
    </r>
    <r>
      <rPr>
        <b/>
        <sz val="13"/>
        <color theme="1"/>
        <rFont val="Cordia New"/>
        <family val="2"/>
      </rPr>
      <t>วงเงินทั้งสิ้น 550,000 บาท</t>
    </r>
    <r>
      <rPr>
        <sz val="13"/>
        <color theme="1"/>
        <rFont val="Cordia New"/>
        <family val="2"/>
      </rPr>
      <t xml:space="preserve"> </t>
    </r>
  </si>
  <si>
    <t>25/02/2564</t>
  </si>
  <si>
    <t>PR2-2564:10/23</t>
  </si>
  <si>
    <t>RV00020900064020206</t>
  </si>
  <si>
    <t>ผศ.ดร.พีรนาฎ คิดดี</t>
  </si>
  <si>
    <t>สถาบันวิจัยและพัฒนา (ภายใต้การบริหารงานของสถาบันวิจัย)</t>
  </si>
  <si>
    <t xml:space="preserve">กองทุนพัฒนาไฟฟ้า (กกพ.) 
สำนักงานคณะกรรมการ
กำกับกิจการพลังงาน </t>
  </si>
  <si>
    <r>
      <t xml:space="preserve">ทุนอุดหนุนการทำโครงการเพื่อการส่งเสริม
สังคมและประชาชนให้มีความรู้ ความตระหนัก 
และมีส่วนร่วมทางด้านไฟฟ้า ประจำปี
งบประมาณ 2563 ภายใต้กิจกรรม นวัตกรรมพลังงานไฟฟ้าจากขยะ งวดที่ 1
</t>
    </r>
    <r>
      <rPr>
        <b/>
        <sz val="13"/>
        <color theme="1"/>
        <rFont val="Cordia New"/>
        <family val="2"/>
      </rPr>
      <t>วงเงินงบประมาณทั้งสิ้น 1,600,000 บาท</t>
    </r>
    <r>
      <rPr>
        <sz val="13"/>
        <color theme="1"/>
        <rFont val="Cordia New"/>
        <family val="2"/>
      </rPr>
      <t xml:space="preserve"> </t>
    </r>
  </si>
  <si>
    <t>PR2-2564:10/22</t>
  </si>
  <si>
    <t>RV00020900064020207</t>
  </si>
  <si>
    <t>อ.ดร.วิศาล อดทน</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</si>
  <si>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1 
</t>
    </r>
    <r>
      <rPr>
        <b/>
        <sz val="13"/>
        <color theme="1"/>
        <rFont val="Cordia New"/>
        <family val="2"/>
      </rPr>
      <t>วงเงินงบประมาณทั้งสิ้น 650,000 บาท</t>
    </r>
  </si>
  <si>
    <t>PR2-2564:12/16</t>
  </si>
  <si>
    <t>RV00020900064030152</t>
  </si>
  <si>
    <t>ผศ.ดร.ประสงค์ เกษราธิคุณ</t>
  </si>
  <si>
    <t>สถาบันเทคโนโลยีนิวเคลียร์
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</si>
  <si>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โครงการวิจัยชื่อการตรวจวัดและประเมิน
ค่ากัมมันตภาพจำเพาะของสารกัมมันตรังสี
ธรรมชาติและที่มนุษย์สร้างขึ้นในดินนาข้าว
และข้าวสังข์หยดอินทรีย์ที่ปลูกในตำบลดอน
ประดู่ อำเภอปากพะยูน จังหวัดพัทลุง งวดที่ 1
</t>
    </r>
    <r>
      <rPr>
        <b/>
        <sz val="13"/>
        <color theme="1"/>
        <rFont val="Cordia New"/>
        <family val="2"/>
      </rPr>
      <t>วงเงินงบประมาณทั้งสิ้น 50,000 บาท</t>
    </r>
    <r>
      <rPr>
        <sz val="13"/>
        <color theme="1"/>
        <rFont val="Cordia New"/>
        <family val="2"/>
      </rPr>
      <t xml:space="preserve"> </t>
    </r>
  </si>
  <si>
    <t>อ.ดร.พิมประภา ชัยจักร</t>
  </si>
  <si>
    <r>
      <t xml:space="preserve">สัญญารับงบประมาณสนับสนุนความร่วมมือ
วิจัยภายใต้โครงการ TINI to University : 
โครงการวิจัยชื่อการพัฒนากลุ่มจุลินทรีย์ทน
รังสีแกมมาเพื่อการประยุกต์ใช้ในการบำบัด
น้ำเสียจากโรงพยาบาล งวดที่ 1
</t>
    </r>
    <r>
      <rPr>
        <b/>
        <sz val="13"/>
        <color theme="1"/>
        <rFont val="Cordia New"/>
        <family val="2"/>
      </rPr>
      <t xml:space="preserve">วงเงินงบประมาณทั้งสิ้น 50,000 บาท </t>
    </r>
  </si>
  <si>
    <t>19/03/2564</t>
  </si>
  <si>
    <t>PR2-2564:12/34</t>
  </si>
  <si>
    <t>RV00020900064030180</t>
  </si>
  <si>
    <t>ผศ.ดร.อุไรวรรณ ทองแกมแก้ว</t>
  </si>
  <si>
    <t>คณะเทคโนโลยีและการพัฒนาชุมชน</t>
  </si>
  <si>
    <t>สำนักงานพัฒนา
การวิจัยการเกษตร
(องค์การมหาชน)</t>
  </si>
  <si>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3
วงเงินทั้งโครงการ 2,300,000.00 บาท </t>
  </si>
  <si>
    <t>หักครบถ้วน
แล้วใน
งวดที่ 1</t>
  </si>
  <si>
    <t>PR2-2564:13/8</t>
  </si>
  <si>
    <t>RV00020900064030270</t>
  </si>
  <si>
    <t>อ.ดร.สุวิมล จุงจิตร์</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</si>
  <si>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3
</t>
    </r>
    <r>
      <rPr>
        <b/>
        <sz val="13"/>
        <color theme="1"/>
        <rFont val="Cordia New"/>
        <family val="2"/>
      </rPr>
      <t>งบประมาณทั้งสิ้น 490,000.00 บาท</t>
    </r>
  </si>
  <si>
    <t>08/04/2564</t>
  </si>
  <si>
    <t>PR2-2564:13/42</t>
  </si>
  <si>
    <t>RV00020900064040068</t>
  </si>
  <si>
    <t>อ.ดร.ตั้ม บุญรอด</t>
  </si>
  <si>
    <t xml:space="preserve">สำนักงานการวิจัยแห่งชาติ </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</si>
  <si>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วงเงินงบประมาณทั้งสิ้น 671,000 บาท</t>
    </r>
    <r>
      <rPr>
        <sz val="13"/>
        <color theme="1"/>
        <rFont val="Cordia New"/>
        <family val="2"/>
      </rPr>
      <t xml:space="preserve"> </t>
    </r>
  </si>
  <si>
    <t>PR2-2564:13/43</t>
  </si>
  <si>
    <t>RV00020900064040069</t>
  </si>
  <si>
    <t>อ.ดร.สุธาสินี บุญญาพิทักษ์</t>
  </si>
  <si>
    <t>ดำเนินการภายใต้
สถาบันวิจัยและพัฒนา 
เนื่องจาก รศ.ดร.ณฐพงศ์ 
จิตรนิรัตน์ รองอธิการบดี
ฝ่ายการวิจัยและบริการ
วิชาการ ทำหน้าที่หัวหน้า
ชุดงานวิจัย</t>
  </si>
  <si>
    <t xml:space="preserve">สถาบันส่งเสริมการสอน
วิทยาศาสตร์และเทคโนโลยี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</si>
  <si>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1 นวัตกรรมโรงเรียนประกอบการเพื่อพัฒนาพื้นที่การเรียนรู้ต้นแบบ </t>
  </si>
  <si>
    <t>อ.ดร.ศิลป์ชัย สุวรรณมณี</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</si>
  <si>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2 การขับเคลื่อนหลักสูตรฐานสมรรถนะ
ด้านวิทยาศาสตร์ คณิตศาสตร์ และเทคโนโลยี
ที่บูรณาการกับศักยภาพเชิงพื้นที่ของ
สถานศึกษาต้นแบบและการขยายผลสู่
สถานศึกษาเครือข่ายในพื้นที่นวัตกรรม
การศึกษานำร่อง จ.สตูลและจังหวัดชายแดนใต้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</si>
  <si>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3 การพัฒนาสมรรถนะครูในศตวรรษที่ 21 
โดยใช้ Project14 เพื่อลดความเหลื่อมล้ำของ
เยาวชนให้มีวิถีชีวิตตามปรัชญาเศรษฐกิจ
พอเพียง พื้นที่เกาะ จังหวัดสตูล </t>
  </si>
  <si>
    <t>ผศ.ดร.ธัญญา พันธุ์ฤทธิ์ดำ</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</si>
  <si>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4 การอบรมปฏิบัติการ GLOBE Academy
Train the trainer ในพื้นที่นวัตกรรมการศึกษา 
จ.สตูล และจังหวัดชายแดนใต้ </t>
  </si>
  <si>
    <t>22/04/2564</t>
  </si>
  <si>
    <t>เล่มที่ 1017 เลขที่ 33</t>
  </si>
  <si>
    <t>RV00020900064040144</t>
  </si>
  <si>
    <t>สำนักงานกองทุนเพื่อ
ความเสมอภาคทาง
การศึกษา</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</si>
  <si>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ของเงินสนับสนุน
โครงการวิจัยเรื่อง ธนาคารแพะเนื้อแบบ
เลี้ยงหวะ (สัญญาเลที่ 63-0421 รหัสโครงการ 
63-071-00286)
</t>
    </r>
    <r>
      <rPr>
        <b/>
        <sz val="13"/>
        <color theme="1"/>
        <rFont val="Cordia New"/>
        <family val="2"/>
      </rPr>
      <t>วงเงินงบประมาณทั้งสิ้น 613,200 บาท</t>
    </r>
    <r>
      <rPr>
        <sz val="13"/>
        <color theme="1"/>
        <rFont val="Cordia New"/>
        <family val="2"/>
      </rPr>
      <t xml:space="preserve"> </t>
    </r>
  </si>
  <si>
    <t>เล่มที่ 1103 
เลขที่ 35</t>
  </si>
  <si>
    <t>RV00020900064060112</t>
  </si>
  <si>
    <r>
      <t xml:space="preserve">สัญญารับทุนอุดหนุนการวิจัยและนวัตกรรม 
สัญญาเลขที่ วช.อว.(อ)(ภอ)/32/2564 สำหรับ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 xml:space="preserve">วงเงินงบประมาณทั้งสิ้น 671,000 บาท </t>
    </r>
  </si>
  <si>
    <t>เล่มที่ 1103 
เลขที่ 34</t>
  </si>
  <si>
    <t>RV00020900064060114</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</si>
  <si>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
ความรู้สึก 
</t>
    </r>
    <r>
      <rPr>
        <b/>
        <sz val="13"/>
        <color theme="1"/>
        <rFont val="Cordia New"/>
        <family val="2"/>
      </rPr>
      <t>งบประมาณทั้งสิ้น 400,000 บาท</t>
    </r>
  </si>
  <si>
    <t>09/07/2564</t>
  </si>
  <si>
    <t>PR2-2564:15/47</t>
  </si>
  <si>
    <t>RV00020900064070092</t>
  </si>
  <si>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โดยวิธีเฉพาะเจาะจง งวดที่ 1
วงเงินทั้งสิ้น 1,500,000 บาท </t>
  </si>
  <si>
    <t>นายศรชัย อินทะไชย</t>
  </si>
  <si>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1
</t>
    </r>
    <r>
      <rPr>
        <b/>
        <sz val="13"/>
        <color theme="1"/>
        <rFont val="Cordia New"/>
        <family val="2"/>
      </rPr>
      <t>งบประมาณทั้งสิ้น 600,000.00 บาท</t>
    </r>
    <r>
      <rPr>
        <sz val="13"/>
        <color theme="1"/>
        <rFont val="Cordia New"/>
        <family val="2"/>
      </rPr>
      <t xml:space="preserve"> </t>
    </r>
  </si>
  <si>
    <t>นายนเรศ ฉิมเรศ</t>
  </si>
  <si>
    <t>คณะวิศวกรรมศาสตร์</t>
  </si>
  <si>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t>
    </r>
    <r>
      <rPr>
        <b/>
        <sz val="13"/>
        <color theme="1"/>
        <rFont val="Cordia New"/>
        <family val="2"/>
      </rPr>
      <t>งบประมาณทั้งสิ้น 582,000.00 บาท</t>
    </r>
    <r>
      <rPr>
        <sz val="13"/>
        <color theme="1"/>
        <rFont val="Cordia New"/>
        <family val="2"/>
      </rPr>
      <t xml:space="preserve"> </t>
    </r>
  </si>
  <si>
    <t>20/08/2564</t>
  </si>
  <si>
    <t>PR2-2564:17/40</t>
  </si>
  <si>
    <t>RV00020900064080155</t>
  </si>
  <si>
    <t>ดร.ภูมิน นุตรทัต</t>
  </si>
  <si>
    <t>สำนักงานสภานโยบาย
การอุดมศึกษา
 วิทยาศาสตร์ วิจัยและ
นวัตกรรมแห่งชาติ</t>
  </si>
  <si>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1 </t>
    </r>
    <r>
      <rPr>
        <b/>
        <sz val="13"/>
        <color theme="1"/>
        <rFont val="Cordia New"/>
        <family val="2"/>
      </rPr>
      <t xml:space="preserve">งบประมาณทั้งสิ้น 2,617,913 บาท </t>
    </r>
  </si>
  <si>
    <t>06/09/2564</t>
  </si>
  <si>
    <t>PR2-2564:19/2</t>
  </si>
  <si>
    <t>RV00020900064090055</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</si>
  <si>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2
</t>
    </r>
    <r>
      <rPr>
        <b/>
        <sz val="13"/>
        <color theme="1"/>
        <rFont val="Cordia New"/>
        <family val="2"/>
      </rPr>
      <t>วงเงินทั้งสิ้น 550,000 บาท</t>
    </r>
  </si>
  <si>
    <t>PR2-2564:19/1</t>
  </si>
  <si>
    <t>RV00020900064090056</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</si>
  <si>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2
</t>
    </r>
    <r>
      <rPr>
        <b/>
        <sz val="13"/>
        <color theme="1"/>
        <rFont val="Cordia New"/>
        <family val="2"/>
      </rPr>
      <t xml:space="preserve">วงเงินทั้งสิ้น 650,000 บาท </t>
    </r>
  </si>
  <si>
    <t>17/09/2564</t>
  </si>
  <si>
    <t>PR2-2564:19/44</t>
  </si>
  <si>
    <t>RV00020900064090136</t>
  </si>
  <si>
    <r>
      <t xml:space="preserve">ตามสัญญาเลขที่ PRP6305031490 สัญญา
รับทุนอุดหนุนโครงการวิจัยการเกษตร เรื่อง 
การยกระดับคุณภาพและการเพิ่มมูลค่า
ข้าวสังข์หยดพัทลุงด้วยนวัตกรรม งวดที่ 4
</t>
    </r>
    <r>
      <rPr>
        <b/>
        <sz val="13"/>
        <color theme="1"/>
        <rFont val="Cordia New"/>
        <family val="2"/>
      </rPr>
      <t>วงเงินทั้งโครงการ 2,300,000.00 บาท</t>
    </r>
    <r>
      <rPr>
        <sz val="13"/>
        <color theme="1"/>
        <rFont val="Cordia New"/>
        <family val="2"/>
      </rPr>
      <t xml:space="preserve"> </t>
    </r>
  </si>
  <si>
    <t>หักครบถ้วน
แล้วใน
งวดที่ 2-3</t>
  </si>
  <si>
    <t>PR2-2564:21/12</t>
  </si>
  <si>
    <t>RV00020900064090252</t>
  </si>
  <si>
    <t>รศ.ดร.สมัคร แก้วสุกแสง</t>
  </si>
  <si>
    <t>ดำเนินการภายใต้สถาบันวิจัยและพัฒนา เนื่องจาก รศ.ดร.สมัคร 
แก้วสุกแสง รักษาการแทน
ผู้อำนวยการสถาบันวิจัย
และพัฒนา ทำหน้าที่หัวหน้า
ชุดงานวิจัย</t>
  </si>
  <si>
    <t>สำนักงานสภานโยบายการอุดมศึกษา วิทยาศาสตร์ วิจัยและนวัตกรรมแห่งชาติ</t>
  </si>
  <si>
    <r>
      <t xml:space="preserve">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งวดที่ 2 
</t>
    </r>
    <r>
      <rPr>
        <b/>
        <sz val="13"/>
        <color theme="1"/>
        <rFont val="Cordia New"/>
        <family val="2"/>
      </rPr>
      <t xml:space="preserve">งบประมาณทั้งสิ้น 7,700,000 บาท </t>
    </r>
    <r>
      <rPr>
        <sz val="13"/>
        <color theme="1"/>
        <rFont val="Cordia New"/>
        <family val="2"/>
      </rPr>
      <t xml:space="preserve">
</t>
    </r>
    <r>
      <rPr>
        <b/>
        <sz val="13"/>
        <color rgb="FFFF0000"/>
        <rFont val="Cordia New"/>
        <family val="2"/>
      </rPr>
      <t>หมายเหตุ : งวดที่ 1 = 2,364,000 บาท ไม่ได้นำส่งมหาวิทยาลัย</t>
    </r>
  </si>
  <si>
    <t>หักส่งในงวดสุดท้าย</t>
  </si>
  <si>
    <t>PR2-2564:21/30</t>
  </si>
  <si>
    <t>RV00020900064090285</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</si>
  <si>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4
</t>
    </r>
    <r>
      <rPr>
        <b/>
        <sz val="13"/>
        <color theme="1"/>
        <rFont val="Cordia New"/>
        <family val="2"/>
      </rPr>
      <t xml:space="preserve">งบประมาณทั้งสิ้น 490,000.00 บาท </t>
    </r>
  </si>
  <si>
    <t>PR2-2564:21/28</t>
  </si>
  <si>
    <t>RV00020900064090286</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</si>
  <si>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 ต่อความมั่นคงทางอาหาร งวดที่4 
</t>
    </r>
    <r>
      <rPr>
        <b/>
        <sz val="13"/>
        <color theme="1"/>
        <rFont val="Cordia New"/>
        <family val="2"/>
      </rPr>
      <t xml:space="preserve">วงเงินงบประมาณทั้งสิ้น 671,000 บาท </t>
    </r>
  </si>
  <si>
    <t>PR2-2564:22/26</t>
  </si>
  <si>
    <t>RV00020900064090314</t>
  </si>
  <si>
    <t>สถาบันเทคโนโลยี
นิวเคลียร์แห่งชาติ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</si>
  <si>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โครงการวิจัยชื่อการพัฒนากลุ่มจุลินทรีย์
ทนรังสีแกมมาเพื่อการประยุกต์ใช้ในการ
บำบัดน้ำเสียจากโรงพยาบาล งวดที่ 2
</t>
    </r>
    <r>
      <rPr>
        <b/>
        <sz val="13"/>
        <color theme="1"/>
        <rFont val="Cordia New"/>
        <family val="2"/>
      </rPr>
      <t>วงเงินงบประมาณทั้งสิ้น 50,000 บาท</t>
    </r>
  </si>
  <si>
    <t>เล่มที่ 1111 
เลขที่ 38</t>
  </si>
  <si>
    <t>RV00020900064090393</t>
  </si>
  <si>
    <t>อาจารย์บุญเรือง ขาวนวล</t>
  </si>
  <si>
    <t>สถาบันวิจัยระบบสาธารณสุข</t>
  </si>
  <si>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1 
</t>
    </r>
    <r>
      <rPr>
        <b/>
        <sz val="13"/>
        <color theme="1"/>
        <rFont val="Cordia New"/>
        <family val="2"/>
      </rPr>
      <t xml:space="preserve">งบประมาณทั้งสิ้น 681,978 บาท </t>
    </r>
  </si>
  <si>
    <t>เล่มที่ 1111 
เลขที่ 42</t>
  </si>
  <si>
    <t>RV00020900064090398</t>
  </si>
  <si>
    <t>ผศ.ดร.อุษา อ้นทอง</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</si>
  <si>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งวดที่ 2-4
</t>
    </r>
    <r>
      <rPr>
        <b/>
        <sz val="13"/>
        <color theme="1"/>
        <rFont val="Cordia New"/>
        <family val="2"/>
      </rPr>
      <t xml:space="preserve">งบประมาณทั้งสิ้น 450,000.00 บาท </t>
    </r>
  </si>
  <si>
    <t>JV00020900064090209</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</si>
  <si>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สำหรับ
รายการค่าธรรมเนียมธนาคาร
</t>
    </r>
    <r>
      <rPr>
        <b/>
        <sz val="13"/>
        <color theme="1"/>
        <rFont val="Cordia New"/>
        <family val="2"/>
      </rPr>
      <t xml:space="preserve">งบประมาณทั้งสิ้น 450,000.00 บาท </t>
    </r>
  </si>
  <si>
    <t>JV00020900064090212</t>
  </si>
  <si>
    <t>ศูนย์วิจัยทรัพยากรทาง
ทะเลและชายฝั่งอ่าวไทย
ตอนกลาง ชุมพร</t>
  </si>
  <si>
    <r>
      <t xml:space="preserve">ตามใบสั่งจ้างเลขที่ 464/2564 ตกลงจ้างเหมา
วิเคราะห์องค์ประกอบเลือด การเปลี่ยนแปลง
ทางเนื้อเยื่อวิทยา การติดเชื้อปรสิต และเชื้อ
แบคทีเรียของปูลม 
</t>
    </r>
    <r>
      <rPr>
        <b/>
        <sz val="13"/>
        <color theme="1"/>
        <rFont val="Cordia New"/>
        <family val="2"/>
      </rPr>
      <t>วงเงินงบประมาณทั้งสิ้น 120,000 บาท</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</si>
  <si>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โครงการสำรวจ ทำสำเนาดิจิทัล และปริวัตรเอกสารโบราณตำรับยาและตำราการแพทย์
แผนไทย กลุ่มจังหวัดภาคใต้ ปีที่ 1 ยอดอนุมัติเป็นทุนวิจัยทั้งหมด 1,504,492.00 บาท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</si>
  <si>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ผลของน้ำมันระเหยบางชนิดใน
ประเทศไทยที่มีผลต่อสรีรวิทยาและอารมณ์
ความรู้สึก งบประมาณทั้งสิ้น 400,000 บาท 
งวดที่ 2 (งวดสุดท้าย) เป็นเงิน 88,000.00 บาท</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</si>
  <si>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โครงการวิจัยเรื่อง ธนาคารแพะเนื้อแบบ
เลี้ยงหวะ วงเงินงบประมาณทั้งสิ้น 613,200 บ.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</si>
  <si>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
ในประเทศไทยที่มีผลต่อสรีรวิทยาและอารมณ์ความรู้สึก งบประมาณทั้งสิ้น 400,000 บาท 
เงินประกันผลงาน เป็นเงิน 20,000.00 บาท</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</si>
  <si>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โครงการวิจัยและนวัตกรรมเพื่อแก้ไขปัญหาความยากจนอย่างเบ็ดเสร็จและแม่นยำในจังหวัดพัทลุง งวดที่ 1 = 2,364,000 บาท</t>
  </si>
  <si>
    <t>สำหรับปีงบประมาณ 2563  ระยะเวลาดำเนินการ 1  ตุลาคม 2562  สิ้นสุด 30 กันยายน 2563</t>
  </si>
  <si>
    <t>05/02/2563</t>
  </si>
  <si>
    <t>PR2-2563:2/47</t>
  </si>
  <si>
    <t>RV02050200363020016</t>
  </si>
  <si>
    <t>อ.ดร.เทพรัตน์ จันทพันธ์</t>
  </si>
  <si>
    <t xml:space="preserve">เงินสนับสนุนค่าธรรมเนียมอุดหนุนสถาบัน 
(งวดพิเศษ ก.) ตามสัญญาเลขที่ 
RDG57S0024 จากโครงการวิจัยเรื่อง 
กระบวนการสร้างสำนึกชาวนาอินทรีย์
เพื่อสร้างพลังในการขับเคลื่อนขบวนชาวนา
อินทรีย์ จ.พัทลุง </t>
  </si>
  <si>
    <t>04/10/2562</t>
  </si>
  <si>
    <t>PL2-2563:1/1</t>
  </si>
  <si>
    <t>RV02050200363100024</t>
  </si>
  <si>
    <t>องค์กรปกครองส่วนท้องถิ่น
จำนวน 48 หน่วยงาน</t>
  </si>
  <si>
    <t>21/10/2562</t>
  </si>
  <si>
    <t>PR2-2563:1/15</t>
  </si>
  <si>
    <t>RV02050200363100157</t>
  </si>
  <si>
    <t>PR2-2563:1/16</t>
  </si>
  <si>
    <t>RV02050200363100158</t>
  </si>
  <si>
    <t>อาจารย์ ดร.วราภรณ์ ทนงศักดิ์</t>
  </si>
  <si>
    <t>สำนักงานคณะกรรมการ
วิจัยแห่งชาติ (วช.)</t>
  </si>
  <si>
    <r>
      <t xml:space="preserve">ค่าธรรมเนียมการวิจัย ตามข้อตกลงของ
ผู้ให้ทุนภายใต้โครงการจัดการความรู้
การวิจัยเพื่อการใช้ประโยชน์ ประจำปี2561 (การจัดการความรู้การวิจัยเพื่อการใช้ประโยชน์เชิงนโยบายสาธารณะ) เรื่อง 
การพัฒนาหลักสูตรเพื่อการจัดทำระบบฐานข้อมูลชุมชนในการรับอุทกภัย  </t>
    </r>
    <r>
      <rPr>
        <b/>
        <sz val="13"/>
        <color theme="1"/>
        <rFont val="Cordia New"/>
        <family val="2"/>
      </rPr>
      <t>งบประมาณทั้งสิ้น 600,000.00 บาท</t>
    </r>
  </si>
  <si>
    <t>22/10/2562</t>
  </si>
  <si>
    <t>PR2-2563:1/17</t>
  </si>
  <si>
    <t>RV02050200363100171</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</si>
  <si>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3</t>
  </si>
  <si>
    <t>25/10/2562</t>
  </si>
  <si>
    <t>PL2-2563:1/2</t>
  </si>
  <si>
    <t>RV02050200363100178</t>
  </si>
  <si>
    <t>29/10/2562</t>
  </si>
  <si>
    <t>PL2-2563:1/3</t>
  </si>
  <si>
    <t>RV02050200363100224</t>
  </si>
  <si>
    <t>องค์กรปกครองส่วนท้องถิ่น
จำนวน 26 หน่วยงาน</t>
  </si>
  <si>
    <t>05/11/2562</t>
  </si>
  <si>
    <t>PL2-2563:1/4</t>
  </si>
  <si>
    <t>RV02050200363110034</t>
  </si>
  <si>
    <t>08/11/2562</t>
  </si>
  <si>
    <t>PR2-2563:1/35</t>
  </si>
  <si>
    <t>RV02050200363110149</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</si>
  <si>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3
วงเงินตามสัญญา 1,100,000 บาท 
</t>
  </si>
  <si>
    <t>18/11/2562</t>
  </si>
  <si>
    <t>PL2-2563:1/6</t>
  </si>
  <si>
    <t>RV02050200363110248</t>
  </si>
  <si>
    <t>PL2-2563:1/7</t>
  </si>
  <si>
    <t>RV02050200363110249</t>
  </si>
  <si>
    <t>PL2-2563:1/5</t>
  </si>
  <si>
    <t>RV02050200363110250</t>
  </si>
  <si>
    <t>PL2-2563:1/8
PL1-2563:1/19</t>
  </si>
  <si>
    <t>RV02050200363110251</t>
  </si>
  <si>
    <t xml:space="preserve">ทุนอุดหนุนดำเนินการวิจัยแผนงานวิจัยเรื่อง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พ.ศ.2562 </t>
  </si>
  <si>
    <t>22/11/2562</t>
  </si>
  <si>
    <t>PR2-2563:1/41</t>
  </si>
  <si>
    <t>RV02050200363110297</t>
  </si>
  <si>
    <r>
      <t xml:space="preserve">อาจารย์ ดร.เปลี้อง สุวรรณมณี 
</t>
    </r>
    <r>
      <rPr>
        <b/>
        <u/>
        <sz val="13"/>
        <color theme="1"/>
        <rFont val="Cordia New"/>
        <family val="2"/>
      </rPr>
      <t xml:space="preserve">เปลี่ยนแปลงผู้ดูแลทุนวิจัยจากเดิม </t>
    </r>
    <r>
      <rPr>
        <sz val="13"/>
        <color theme="1"/>
        <rFont val="Cordia New"/>
        <family val="2"/>
      </rPr>
      <t xml:space="preserve">
อาจารย์ ดร.ทวีเดช ไชยนาพงษ์</t>
    </r>
  </si>
  <si>
    <t>สถาบันปฏิบัติการชุมชนเพื่อการศึกษาแบบ
บูรณาการ</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</si>
  <si>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คำนวณจาก
ยอดเงินสนับสนุนการวิจัยประจำปี 2559 
เรื่อง ผลิตภัณฑ์มูลค่าเพิ่มจากสวนผลไม้โดย
ใช้กรีนเทคโนโลยี กรณีศึกษาสวนผลไม้ชุมชน ตำบลหนองธง อ.ป่าบอน 
จังหวัดพัทลุง 
</t>
    </r>
    <r>
      <rPr>
        <b/>
        <sz val="13"/>
        <color theme="1"/>
        <rFont val="Cordia New"/>
        <family val="2"/>
      </rPr>
      <t xml:space="preserve">ทุนวิจัยรวม 2,000,000.00 บาท </t>
    </r>
    <r>
      <rPr>
        <sz val="13"/>
        <color theme="1"/>
        <rFont val="Cordia New"/>
        <family val="2"/>
      </rPr>
      <t xml:space="preserve">
</t>
    </r>
    <r>
      <rPr>
        <b/>
        <u/>
        <sz val="13"/>
        <color theme="1"/>
        <rFont val="Cordia New"/>
        <family val="2"/>
      </rPr>
      <t>(ซึ่งงวดที่ 4 ยอดรับ 190,000 บาท และ
เงินประกันผลงานเป็นเงิน 100,000 บ.)</t>
    </r>
    <r>
      <rPr>
        <b/>
        <sz val="13"/>
        <color theme="1"/>
        <rFont val="Cordia New"/>
        <family val="2"/>
      </rPr>
      <t xml:space="preserve"> </t>
    </r>
  </si>
  <si>
    <t>PL2-2563:1/9</t>
  </si>
  <si>
    <t>RV02050200363110298</t>
  </si>
  <si>
    <t>28/11/2562</t>
  </si>
  <si>
    <t>PR2-2563:1/50</t>
  </si>
  <si>
    <t>RV02050200363110357</t>
  </si>
  <si>
    <t>อาจารย์ ดร.ทวนธง ครุฑจ้อน</t>
  </si>
  <si>
    <r>
      <t xml:space="preserve">ตามสัญญาจ้างผู้เชี่ยวชาญรายบุคคลหรือ
จ้างบริษัทที่ปรึกษา เลขที่ 0004/2562 
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ส่วนจังหวัดภูเก็ตประจำปีงบประมาณ 2562 
</t>
    </r>
    <r>
      <rPr>
        <b/>
        <sz val="13"/>
        <color theme="1"/>
        <rFont val="Cordia New"/>
        <family val="2"/>
      </rPr>
      <t>วงเงินตามสัญญา 79,092.00 บาท</t>
    </r>
  </si>
  <si>
    <t>04/12/2562</t>
  </si>
  <si>
    <t>PL2-2563:1/10</t>
  </si>
  <si>
    <t>RV02050200363120021</t>
  </si>
  <si>
    <t>PL2-2563:1/11</t>
  </si>
  <si>
    <t>RV02050200363120022</t>
  </si>
  <si>
    <t>18/12/2562</t>
  </si>
  <si>
    <t>PL2-2563:1/12</t>
  </si>
  <si>
    <t>RV02050200363120165</t>
  </si>
  <si>
    <t>24/12/2562</t>
  </si>
  <si>
    <t>PR2-2563:2/19</t>
  </si>
  <si>
    <t>RV02050200363120212</t>
  </si>
  <si>
    <t>มูลนิธิคีนันแห่งเอเชีย</t>
  </si>
  <si>
    <t xml:space="preserve">เงินสนับสนุนเงินทุนเพื่อการจัดกิจกรรม
พัฒนาวิชาชีพครู ภายใต้โครงการ Thailand 
School Improvement Program (TSIP) 
ภายใต้โครงการพัฒนาเครือข่ายโรงเรียน
ต้นแบบเพื่อยกระดับคุณภาพงานวิชาการ 
งบประมาณทั้งสิ้น 300,000.00 บาท 
งวดที่ 1 </t>
  </si>
  <si>
    <t>26/12/2562</t>
  </si>
  <si>
    <t>PL2-2563:1/16</t>
  </si>
  <si>
    <t>RV02050200363120242</t>
  </si>
  <si>
    <t>06/01/2563</t>
  </si>
  <si>
    <t>PR2-2563:2/25</t>
  </si>
  <si>
    <t>RV02050200363010036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</si>
  <si>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2</t>
  </si>
  <si>
    <t>PR2-2563:2/26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</si>
  <si>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3</t>
  </si>
  <si>
    <t>09/01/2563</t>
  </si>
  <si>
    <t>PL2-2563:1/17</t>
  </si>
  <si>
    <t>RV02050200363010102</t>
  </si>
  <si>
    <t>PL2-2563:1/18</t>
  </si>
  <si>
    <t>RV02050200363010103</t>
  </si>
  <si>
    <t>03/02/2563</t>
  </si>
  <si>
    <t>PR2-2563:2/44</t>
  </si>
  <si>
    <t>RV02050200363020005</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</si>
  <si>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1 
</t>
    </r>
    <r>
      <rPr>
        <b/>
        <sz val="13"/>
        <color theme="1"/>
        <rFont val="Cordia New"/>
        <family val="2"/>
      </rPr>
      <t>งบประมาณทั้งสิ้น 442,200 บ.</t>
    </r>
    <r>
      <rPr>
        <sz val="13"/>
        <color theme="1"/>
        <rFont val="Cordia New"/>
        <family val="2"/>
      </rPr>
      <t xml:space="preserve"> </t>
    </r>
  </si>
  <si>
    <t>PR2-2563:2/43</t>
  </si>
  <si>
    <t>RV02050200363020006</t>
  </si>
  <si>
    <t>สำนักงานกองทุนสนับสนุน
การสร้างเสริมสุขภาพ (สสส.)
ศูนย์ศึกษาปัญหาการเสพติด</t>
  </si>
  <si>
    <r>
      <t xml:space="preserve">ตามข้อตกลงดำเนินงานสร้างเสริมสุขภาพ 
เลขที่ 62-01619-0008 โครงการการ
สร้างสรรค์สื่อรณรงค์แบบมีส่วนร่วมเพื่อ
สร้างความเข้าใจและลดปัญญาการเสพ
น้ำกระท่อมในกลุ่มเยาวชนพื้นที่เสี่ยงของ
จังหวัดสงขลา งวดที่ 1 
</t>
    </r>
    <r>
      <rPr>
        <b/>
        <sz val="13"/>
        <color theme="1"/>
        <rFont val="Cordia New"/>
        <family val="2"/>
      </rPr>
      <t>วงเงินทั้งสิ้น 130,900 บาท</t>
    </r>
  </si>
  <si>
    <t>06/02/2563</t>
  </si>
  <si>
    <t>PR2-2563:2/48</t>
  </si>
  <si>
    <t>RV02050200363020024</t>
  </si>
  <si>
    <t>นางธรรญชนก ขนอม</t>
  </si>
  <si>
    <t>ร่วมพัฒนาเมือง จำกัด (สำนักงานใหญ่) 
จังหวัดสตูล</t>
  </si>
  <si>
    <r>
      <t xml:space="preserve">ทุนอุดหนุนดำเนินการวิจัยเรื่อง การสำรวจ
ความพึงพอใจของผู้ประกอบการและ
นักท่องเที่ยวที่มีต่อแอปพลิเคชั่น 
PHATTALUNG GO 
</t>
    </r>
    <r>
      <rPr>
        <b/>
        <sz val="13"/>
        <color theme="1"/>
        <rFont val="Cordia New"/>
        <family val="2"/>
      </rPr>
      <t xml:space="preserve">จำนวนเงินทั้งสิ้น 15,000.00 บาท </t>
    </r>
  </si>
  <si>
    <t>11/02/2563</t>
  </si>
  <si>
    <t>PL2-2563:1/20</t>
  </si>
  <si>
    <t>RV02050200363020077</t>
  </si>
  <si>
    <t>09/03/2563</t>
  </si>
  <si>
    <t>PL2-2563:1/21</t>
  </si>
  <si>
    <t>RV02050200363030071</t>
  </si>
  <si>
    <t xml:space="preserve">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พ.ศ.2563 </t>
  </si>
  <si>
    <t>20/03/2563</t>
  </si>
  <si>
    <t>PR2-2563:3/46</t>
  </si>
  <si>
    <t>RV02050200363030193</t>
  </si>
  <si>
    <t>เงินสนับสนุนเพื่อการวิจัย เรื่อง การศึกษารูปแบบการจัดจำหน่ายสัตว์น้ำเศรษฐกิจ
ที่โตไม่ได้ขนาดในประเทศไทย งวดที่ 1
วงเงินงบประมาณทั้งสิ้น 653,400 บาท)</t>
  </si>
  <si>
    <t>03/04/2563</t>
  </si>
  <si>
    <t>เล่มที่ 0967
เลขที่ 31</t>
  </si>
  <si>
    <t>RV02050200363040017</t>
  </si>
  <si>
    <t>บริษัท ดนตรีและศิลปะซิมโฟนี จำกัด</t>
  </si>
  <si>
    <r>
      <t xml:space="preserve">ตามสัญญาเลขที่ ซฟน.001/2562 สัญญา
จ้างดำเนินโครงการวิจัย เรื่อง มุมมอง
ความสำเร็จของหลักสูตรดนตรี "Symphony 
Learning" ในการเสริมสร้างศักยภาพการ
เรียนรู้ในกับเด็กและเยาวชน งวดที่ 4
</t>
    </r>
    <r>
      <rPr>
        <b/>
        <sz val="13"/>
        <color theme="1"/>
        <rFont val="Cordia New"/>
        <family val="2"/>
      </rPr>
      <t>วงเงินตามสัญญา 600,000 บาท</t>
    </r>
  </si>
  <si>
    <t>13/04/2563</t>
  </si>
  <si>
    <t>เล่มที่ 0967
เลขที่ 44</t>
  </si>
  <si>
    <t>RV02050200363040062</t>
  </si>
  <si>
    <r>
      <t xml:space="preserve">เงินสนับสนุนเงินทุนเพื่อการจัด
พัฒนาวิชาชีพครู ภายใต้โครงการ 
Thailand School Improvement Program
(TSIP) ภายใต้โครงการพัฒนาเครือข่าย
โรงเรียนต้นแบบเพื่อยกระดับคุณภาพ
งานวิชาการ งวดที่ 2
</t>
    </r>
    <r>
      <rPr>
        <b/>
        <sz val="13"/>
        <color theme="1"/>
        <rFont val="Cordia New"/>
        <family val="2"/>
      </rPr>
      <t xml:space="preserve">งบประมาณทั้งสิ้น 300,000.00 บาท </t>
    </r>
  </si>
  <si>
    <t>17/04/2563</t>
  </si>
  <si>
    <t>เล่มที่ 0967
เลขที่ 47</t>
  </si>
  <si>
    <t>RV02050200363040105</t>
  </si>
  <si>
    <r>
      <t xml:space="preserve">ตามสัญญาเลขที่ นว(ยธ)6/2561 สัญญา
รับทุนอุดหนุนการวิจัย เรื่อง กระบวนการ
ยุติธรรมเชิงสมานฉันท์เด็กและเยาวชนใน
จังหวัดชายแดนภาคใต้ งวดที่ 4 
</t>
    </r>
    <r>
      <rPr>
        <b/>
        <sz val="13"/>
        <color theme="1"/>
        <rFont val="Cordia New"/>
        <family val="2"/>
      </rPr>
      <t>วงเงินตามสัญญา 1,100,000 บาท</t>
    </r>
  </si>
  <si>
    <t>30/04/2563</t>
  </si>
  <si>
    <t>เล่มที่ 0967 เลขที่ 50</t>
  </si>
  <si>
    <t>RV02050200363040154</t>
  </si>
  <si>
    <t>เครือขายอุดมศึกษา
ภาคใต้ตอนล่าง 
(ม.สงขลานครินทร์)</t>
  </si>
  <si>
    <r>
      <t xml:space="preserve">เงินทุนวิจัยจากเครือข่ายอุดมศึกษา
ภาคใต้ตอนล่าง ประจำปี 2563 เรื่อง 
การพัฒนาคุณภาพการศึกษาและพัฒนา
ท้องถิ่นโดยสถาบันอุดมศึกษาเป็นพี่เลี้ยง
ประจำปี 2563 : การสร้างชุมชนแห่ง
การเรียนรู้ครูประถมศึกษา เพื่อการพัฒนา
ทักษะการอ่านออกเขียนได้ การอ่านเชิง
วิเคราะห์ และจริยธรรมด้านวินัย ด้าน
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t>
    </r>
    <r>
      <rPr>
        <b/>
        <sz val="13"/>
        <color theme="1"/>
        <rFont val="Cordia New"/>
        <family val="2"/>
      </rPr>
      <t xml:space="preserve">วงเงินทั้งสิ้น 550,000.00 บาท </t>
    </r>
  </si>
  <si>
    <t>18/06/2563</t>
  </si>
  <si>
    <t>PR2-2563:7/33</t>
  </si>
  <si>
    <t>RV02050200363060093</t>
  </si>
  <si>
    <t>อ.ดร.อภินันท์ เอื้ออังกูร</t>
  </si>
  <si>
    <t>เงินงวดพิเศษ ก . ตามสัญญาเลขที่ RDG6120041 เรื่อง การจัดการโซ่อุปทาน
และการจัดซื้อจัดหาที่ยั่งยืนของกิจการ
เพื่อสังคม : กรณีศึกษาร้านคนจับปลา</t>
  </si>
  <si>
    <t>10/08/2563</t>
  </si>
  <si>
    <t>PR2-2563:10/17</t>
  </si>
  <si>
    <t>RV02050200363080113</t>
  </si>
  <si>
    <t>รศ.ดร.ชินสัคค สุวรรณอัจฉริย</t>
  </si>
  <si>
    <t>มูลนิธิสวัสดีไทย</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</si>
  <si>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สำหรับทุนวิจัย
ตามสัญญาที่ 02/2562 เรื่อง ความคิดใหม่กับ
กลไกเศรษฐกิจของภูมิรัฐศาสตร์โลกแก่มูลนิธิ
สวัสดีไทยบนพื้นฐานของวิธีการจัดซื้อเสนอ
</t>
    </r>
    <r>
      <rPr>
        <b/>
        <sz val="13"/>
        <color theme="1"/>
        <rFont val="Cordia New"/>
        <family val="2"/>
      </rPr>
      <t>ราคา วงเงินตามสัญญา 100,000 บาท</t>
    </r>
    <r>
      <rPr>
        <sz val="13"/>
        <color theme="1"/>
        <rFont val="Cordia New"/>
        <family val="2"/>
      </rPr>
      <t xml:space="preserve"> </t>
    </r>
  </si>
  <si>
    <t>11/08/2563</t>
  </si>
  <si>
    <t>PR2-2563:10/23</t>
  </si>
  <si>
    <t>RV02050200363080129</t>
  </si>
  <si>
    <r>
      <t>เงินทุนวิจัยจากเครือข่ายอุดมศึกษาภาคใต้
ตอนล่าง ประจำปี 2563 เรื่อง การพัฒนา
คุณภาพการศึกษาและพัฒนาท้องถิ่นโดย
สถาบันอุดมศึกษาเป็นพี่เลี้ยงประจำปี 2563 : 
การสร้างชุมชนแห่งการเรียนรู้ครูประถมศึกษา 
เพื่อการพัฒนาทักษะการอ่านออกเขียนได้ 
การอ่านเชิงวิเคราะห์ และจริยธรรมด้านวินัย 
ด้านจิตอาสา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ในจังหวัดสงขลาและพัทลุง งวดที่2</t>
    </r>
    <r>
      <rPr>
        <b/>
        <sz val="13"/>
        <color theme="1"/>
        <rFont val="Cordia New"/>
        <family val="2"/>
      </rPr>
      <t xml:space="preserve">วงเงินทั้งสิ้น 550,000.00 บาท </t>
    </r>
  </si>
  <si>
    <t>09/09/2563</t>
  </si>
  <si>
    <t>PR2-2563:11/46</t>
  </si>
  <si>
    <t>RV02050200363090124</t>
  </si>
  <si>
    <t>สำนักงานกองทุนเพื่อ
ความเสมอภาคทาง
การศึกษา 
(สำนักงาน กสศ.)</t>
  </si>
  <si>
    <t xml:space="preserve">ตามสัญญภาคีร่วมดำเนินงาน เลขที่สัญญา
ที่ 63-0067 โครงการศึกษาวิจัยและประเมิน
เพื่อสร้างองค์ความรู้ในการพัฒนา
การดำเนินงานโครงการครูรัก(ษ์)ถิ่นรุ่นที่ 1 
งบประมาณทั้งสิ้น 1,372,932.00 บาท </t>
  </si>
  <si>
    <t>16/09/2563</t>
  </si>
  <si>
    <t>PL2-2563:1/45</t>
  </si>
  <si>
    <t>RV02050200363090282</t>
  </si>
  <si>
    <t>21/09/2563</t>
  </si>
  <si>
    <t>PL2-2563:1/46</t>
  </si>
  <si>
    <t>RV02050200363090343</t>
  </si>
  <si>
    <t>24/09/2563</t>
  </si>
  <si>
    <t>PL2-2563:1/48</t>
  </si>
  <si>
    <t>RV02050200363090408</t>
  </si>
  <si>
    <t>PR2-2563:13/6</t>
  </si>
  <si>
    <t>RV02050200363090409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</si>
  <si>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1
วงเงินงบประมาณทั้งสิ้น 2,000,000.00 บาท</t>
  </si>
  <si>
    <t>29/09/2563</t>
  </si>
  <si>
    <t>PL2-2563:2/4</t>
  </si>
  <si>
    <t>RV02050200363090541</t>
  </si>
  <si>
    <t>PL2-2563:2/3</t>
  </si>
  <si>
    <t>RV02050200363090544</t>
  </si>
  <si>
    <t>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พ.ศ.2563</t>
  </si>
  <si>
    <t>SL2-2563:34/13</t>
  </si>
  <si>
    <t>RV00300000563090372</t>
  </si>
  <si>
    <t>PR2-2563:14/4</t>
  </si>
  <si>
    <t>RV02050200363090585</t>
  </si>
  <si>
    <t xml:space="preserve">รศ.ดร.พรพันธุ์ เขมคุณาศัย </t>
  </si>
  <si>
    <t xml:space="preserve">เงินสนับสนุนค่าธรรมเนียมอุดหนุนสถาบัน 
(งวดพิเศษ ก.)ตามสัญญาเลขที่RDG60S0001 
จากโครงการวิจัยเรื่อง การสังเคราะห์รูปแบบ
การสร้างความเข้มแข็งของชุมชนบนฐาน
การทำนา จังหวัดนราธิวาส </t>
  </si>
  <si>
    <t>PR2-2564:1/16</t>
  </si>
  <si>
    <t>RV02050200363090693</t>
  </si>
  <si>
    <t>เงินสนับสนุนเพื่อการวิจัย เรื่อง การศึกษารูปแบบการจัดจำหน่ายสัตว์น้ำเศรษฐกิจที่
โตไม่ได้ขนาดในประเทศไทย งวดที่ 2
วงเงินงบประมาณทั้งสิ้น 653,400 บาท</t>
  </si>
  <si>
    <t>JV02050200363090177</t>
  </si>
  <si>
    <t>องค์กรปกครองส่วนท้องถิ่น
จำนวน 108 หน่วยงาน</t>
  </si>
  <si>
    <t>JV02050200363090279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</si>
  <si>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2
วงเงินงบประมาณทั้งสิ้น 2,000,000.00 บาท</t>
  </si>
  <si>
    <t>PR2-2563:1/14</t>
  </si>
  <si>
    <t>RV02050200363100156</t>
  </si>
  <si>
    <t xml:space="preserve">ศูนย์วิจัยและพัฒนาทรัพยากรทางทะเล และชายฝั่งอ่าวไทยตอนกลาง (ศวทก.) </t>
  </si>
  <si>
    <r>
      <t xml:space="preserve">ทุนอุดหนุนดำเนินการวิจัยแผนงานวิจัย
เรื่อง การศึกษาผลกระทบขยะทะเลต่อ
ระบบนิเวศที่สำคัญ (การศึกษาองค์ประกอบเลือด การติดเชื้อ และการเปลี่ยนแปลงทางเนื้อเยื่อของปูลม) 
</t>
    </r>
    <r>
      <rPr>
        <b/>
        <sz val="13"/>
        <color theme="1"/>
        <rFont val="Cordia New"/>
        <family val="2"/>
      </rPr>
      <t>งบประมาณทั้งสิ้น 120,000.00 บาท</t>
    </r>
  </si>
  <si>
    <t>PR2-2563:2/17
และ
PR2-2563:2/18</t>
  </si>
  <si>
    <t>RV02050200363120211</t>
  </si>
  <si>
    <r>
      <t xml:space="preserve">ค่าธรรมเนียมสถาบันของงวดที่ 2-3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Cordia New"/>
        <family val="2"/>
      </rPr>
      <t xml:space="preserve">งบประมาณทั้งสิ้น 2,000,000บ. </t>
    </r>
  </si>
  <si>
    <t>17/01/2563</t>
  </si>
  <si>
    <t>PR2-2563:2/35</t>
  </si>
  <si>
    <t>RV02050200363010167</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</si>
  <si>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 เรื่อง ผลของน้ำมันระเหย
บางชนิดในประเทศไทยที่มีผลต่อสรีรวิทยา
และอารมณ์ความรู้สึก
(งวดที่พิเศษ เบิกจ่าย160,000 บาท) 
</t>
    </r>
    <r>
      <rPr>
        <b/>
        <sz val="13"/>
        <color theme="1"/>
        <rFont val="Cordia New"/>
        <family val="2"/>
      </rPr>
      <t xml:space="preserve">งบประมาณทั้งสิ้น 400,000 บาท </t>
    </r>
    <r>
      <rPr>
        <sz val="13"/>
        <color theme="1"/>
        <rFont val="Cordia New"/>
        <family val="2"/>
      </rPr>
      <t xml:space="preserve">
</t>
    </r>
  </si>
  <si>
    <t>31/01/2563</t>
  </si>
  <si>
    <t>PR2-2563:2/42</t>
  </si>
  <si>
    <t>RV02050200363010322</t>
  </si>
  <si>
    <t>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3 
(วงเงินตามสัญญา 500,000 บาท)</t>
  </si>
  <si>
    <t>PR2-2563:2/49</t>
  </si>
  <si>
    <t>RV02050200363020025</t>
  </si>
  <si>
    <t>สำนักงานพัฒนาการวิจัย
เกษตร(องค์การมหาชน)</t>
  </si>
  <si>
    <r>
      <t xml:space="preserve">ค่าธรรมเนียมอุดหนุนสถาบัน ตามสัญญาที่
CRP610502290 สัญญารับทุนอุดหนุน
โครงการวิจัยการเกษตร เรื่อง การบำบัดสี
ในน้ำเสียจากการแปรรูปปาล์มน้ำมัน
ด้วยเซลล์เชื้อเพลิงจุลินทรีย์ชนิดใช้กล้า
เชื้อราที่ทนสภาวะไร้อากาศเป็นตัวเร่งบน
ขั้วไฟฟ้า(ระยะที่ 2) งวดที่ 1
</t>
    </r>
    <r>
      <rPr>
        <b/>
        <sz val="13"/>
        <color theme="1"/>
        <rFont val="Cordia New"/>
        <family val="2"/>
      </rPr>
      <t>วงเงินทั้งสิ้น 1,464,093.00 บาท</t>
    </r>
  </si>
  <si>
    <t>27/03/2563</t>
  </si>
  <si>
    <t>เล่มที่ 0967 เลขที่ 15</t>
  </si>
  <si>
    <t>RV02050200363030257</t>
  </si>
  <si>
    <t>ทุนอุดหนุนดำเนินการวิจัยแผนงานวิจัย
เรื่อง การกำจัดน้ำล้างและเศษของเสีย
จากการประมงปลาสามน้ำด้วยระบบ
หมักแบบไร้อากาศและการประยุกต์ใช้
น้ำหมักชีวภาพในการทำเกษตรอินทรีย์
ต่อชุมชนลำปำ งวดที่ 1
งบประมาณทั้งสิ้น 450,000.00 บาท</t>
  </si>
  <si>
    <t>เล่มที่ 0967 เลขที่ 14</t>
  </si>
  <si>
    <t>RV02050200363030258</t>
  </si>
  <si>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1
งบประมาณทั้งสิ้น 490,000.00 บาท </t>
  </si>
  <si>
    <t>08/04/2563</t>
  </si>
  <si>
    <t>PR2-2563:4/13</t>
  </si>
  <si>
    <t>RV02050200363040033</t>
  </si>
  <si>
    <r>
      <t xml:space="preserve">สัญญาเลขที่ สพภ.-วช.18/2561 สัญญา
รับทุนอุดหนุนส่งเสริมและสนับสนุน
วิจัยด้านสิ่งแวดล้อม ความหลากหลาย
ทางชีวภาพและระบบนิเวศ เรื่อง การกำจัด
ซัลไฟด์และผลิตกรดซัลฟริคจากซัลไฟด์
ในระบบผลิตก๊าซชีวภาพจากน้ำเสีย
แปรรูปยางพาราเพื่อเพิ่มศักยภาพใน
การผลิตมีแทนและนำกรดซัลฟูริคกลับมา
ใช้ใหม่ในกระบวนการผลิต งวดที่ 4
</t>
    </r>
    <r>
      <rPr>
        <b/>
        <sz val="13"/>
        <color theme="1"/>
        <rFont val="Cordia New"/>
        <family val="2"/>
      </rPr>
      <t xml:space="preserve">(วงเงินตามสัญญา 500,000 บาท) </t>
    </r>
  </si>
  <si>
    <t>22/04/2563</t>
  </si>
  <si>
    <t>PR2-2563:4/29</t>
  </si>
  <si>
    <t>RV02050200363040124</t>
  </si>
  <si>
    <t>สำนักงานพัฒนาวิทยาศาสตร์และเทคโนโลยีแห่งชาติ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</si>
  <si>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 2 
</t>
    </r>
    <r>
      <rPr>
        <b/>
        <sz val="13"/>
        <color theme="1"/>
        <rFont val="Cordia New"/>
        <family val="2"/>
      </rPr>
      <t>วงเงินตามงบประมาณ 250,000 บาท</t>
    </r>
    <r>
      <rPr>
        <sz val="13"/>
        <color theme="1"/>
        <rFont val="Cordia New"/>
        <family val="2"/>
      </rPr>
      <t xml:space="preserve"> </t>
    </r>
  </si>
  <si>
    <t>หักครบถ้วนแล้วในงวดที่ 1</t>
  </si>
  <si>
    <t>23/04/2563</t>
  </si>
  <si>
    <t>เล่มที่ 0967
เลขที่ 48</t>
  </si>
  <si>
    <t>RV02050200363040127</t>
  </si>
  <si>
    <t>ทุนอุดหนุนดำเนินการวิจัยเรื่อง The effect
of high levels of supplementation in 
diet on growth performance and feed
utilization of Nile tilapia งวดที่ 2</t>
  </si>
  <si>
    <t>เล่มที่ 1012
เลขที่ 01</t>
  </si>
  <si>
    <t>RV02050200363040155</t>
  </si>
  <si>
    <r>
      <t xml:space="preserve">สัญญาให้ทุนอุดหนุนโครงการวิจัย 
พัฒนาและวิศวกรรม สัญญาเลขที่ FDA-CO-2561-5830-TH  เรื่อง การ
พัฒนาตัวเร่งปฏิกิริยาเพื่อเซลเชื้อเพลิง
เอทานอลโดยไม่ใช้เยื่อเลือกผ่าน งวดที่ 
</t>
    </r>
    <r>
      <rPr>
        <b/>
        <sz val="13"/>
        <color theme="1"/>
        <rFont val="Cordia New"/>
        <family val="2"/>
      </rPr>
      <t xml:space="preserve">งบประมาณทั้งโครงการ 250,000 บาท </t>
    </r>
  </si>
  <si>
    <t>12/05/2563</t>
  </si>
  <si>
    <t>PR2-2563:4/48</t>
  </si>
  <si>
    <t>RV02050200363050054</t>
  </si>
  <si>
    <t>ผศ.ดร.นันทรัตน์ พฤกษาพิทักษ์</t>
  </si>
  <si>
    <t>สำนักงานพัฒนา
เศรษฐกิจจากฐานชีวภาพ
(องค์การมหาชน)</t>
  </si>
  <si>
    <r>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3</t>
    </r>
    <r>
      <rPr>
        <b/>
        <sz val="13"/>
        <color theme="1"/>
        <rFont val="Cordia New"/>
        <family val="2"/>
      </rPr>
      <t>งบประมาณทั้งสิ้น 1,500,000 บ.</t>
    </r>
  </si>
  <si>
    <t>13/05/2563</t>
  </si>
  <si>
    <t>PR2-2563:4/50</t>
  </si>
  <si>
    <t>RV02050200363050059</t>
  </si>
  <si>
    <t>สำนักงานพัฒนาการวิจัยการเกษตร</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</si>
  <si>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3 
</t>
    </r>
    <r>
      <rPr>
        <b/>
        <sz val="13"/>
        <color theme="1"/>
        <rFont val="Cordia New"/>
        <family val="2"/>
      </rPr>
      <t>วงเงินตามงบประมาณ 433,400 บาท</t>
    </r>
  </si>
  <si>
    <t>22/05/2563</t>
  </si>
  <si>
    <t>PR2-2563:5/33</t>
  </si>
  <si>
    <t>RV02050200363050102</t>
  </si>
  <si>
    <t>ดำเนินการภายใต้สถาบันวิจัยและพัฒนา 
รศ.ดร.ณฐพงศ์ จิตรนิรัตน์
รองอธิการบดีฝ่ายการ
วิจัยและบริการวิชาการ 
ทำหน้าที่หัวหน้าชุด
งานวิจัย</t>
  </si>
  <si>
    <t>สถาบันส่งเสริมการสอน 
วิทยาศาสตร์และเทคโนโลยี</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</si>
  <si>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1 การขับเคลื่อน
นวัตกรรมบูรณาการเพื่อพัฒนาสมรรถนะ
ทางเทคโนโลยีดิจิทัลในการเป็น
ผู้ประกอบการบนฐานชุมชนของโรงเรียน
มัธยมศึกษาพื้นที่นวัตกรรมการศึกษา 
จังหวัดสตูล</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</si>
  <si>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2 การพัฒนาผู้นำการ
เปลี่ยนแปลงของผู้บริหารสถานศึกษาใน
เขตพื้นที่นวัตกรรม (ภาคใต้)</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</si>
  <si>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3 การพัฒนาสมรรถนะ
ครูในศตวรรษที่ 21 ด้วยชุมชนการเรียนรู้
ทางวิชาชีพ เพื่อลดความเหลื่อมล้ำของ
เยาวชนให้มีวิถีชีวิตตามปรัชญาเศรษฐกิจ
พอเพียง พื้นที่เกาะจังหวัดสตูล</t>
  </si>
  <si>
    <t>อ.ดร.นันทิดา สุวรรมวงศ์</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</si>
  <si>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4 TSU GLOBE 
คณะวิทยาศาสตร์ มหาวิทยาลัยทักษิณ</t>
  </si>
  <si>
    <t>PR2-2563:7/32</t>
  </si>
  <si>
    <t>RV02050200363060092</t>
  </si>
  <si>
    <t>อ.ดร.ปุรวิชญ์ พิทยาภินันท์</t>
  </si>
  <si>
    <t>เงินงวดพิเศษ ก . ตามสัญญาเลขที่ RDG6120038 เรื่อง ความต้องการความรู้
ในการทำสวนปาล์มน้ำมันขนาดเล็กของ
เกษตรกรผู้ปลูกปาล์มน้ำมันรายย่อยใน
จังหวัดสตูล</t>
  </si>
  <si>
    <t>PR2-2563:7/34</t>
  </si>
  <si>
    <t>RV02050200363060094</t>
  </si>
  <si>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4งบประมาณทั้งสิ้น 1,500,000 บ.</t>
  </si>
  <si>
    <t>หักครบถ้วนแล้วในงวดที่ 3</t>
  </si>
  <si>
    <t>15/07/2563</t>
  </si>
  <si>
    <t>PR2-2563:8/46</t>
  </si>
  <si>
    <t>RV02050200363070120</t>
  </si>
  <si>
    <t xml:space="preserve">สำนักงานพัฒนา
การวิจัยการเกษตร
(องค์การมหาชน) </t>
  </si>
  <si>
    <r>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และการเพิ่มมูลค่าข้าวสังข์หยดพัทลุงด้วยนวัตกรรม  งวดที่ 1 (งบบริหาร)
</t>
    </r>
    <r>
      <rPr>
        <b/>
        <sz val="13"/>
        <color theme="1"/>
        <rFont val="Cordia New"/>
        <family val="2"/>
      </rPr>
      <t xml:space="preserve">วงเงินทั้งโครงการ 2,300,000.00 บาท </t>
    </r>
  </si>
  <si>
    <t>PR2-2563:8/47</t>
  </si>
  <si>
    <r>
      <t xml:space="preserve">ตามสัญญาเลขที่ PRP6305031490 สัญญา
รับทุนอุดหนุนโครงการวิจัยการเกษตร ของสำหรับทุนวิจัยเรื่อง การยกระดับคุณภาพ
และการเพิ่มมูลค่าข้าวสังข์หยดพัทลุงด้วยนวัตกรรม  งวดที่ 1 (งบครุภัณฑ์)
</t>
    </r>
    <r>
      <rPr>
        <b/>
        <sz val="13"/>
        <color theme="1"/>
        <rFont val="Cordia New"/>
        <family val="2"/>
      </rPr>
      <t xml:space="preserve">วงเงินทั้งโครงการ 2,300,000.00 บาท </t>
    </r>
  </si>
  <si>
    <t>21/07/2563</t>
  </si>
  <si>
    <t>PR2-2563:9/22</t>
  </si>
  <si>
    <t>RV02050200363070202</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</si>
  <si>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4 </t>
    </r>
    <r>
      <rPr>
        <b/>
        <sz val="13"/>
        <color theme="1"/>
        <rFont val="Cordia New"/>
        <family val="2"/>
      </rPr>
      <t xml:space="preserve">วงเงินตามงบประมาณ 433,400 บ. </t>
    </r>
  </si>
  <si>
    <t>03/08/2563</t>
  </si>
  <si>
    <t>PR2-2563:9/44</t>
  </si>
  <si>
    <t>RV02050200363080019</t>
  </si>
  <si>
    <t>ว่าที่ ร.ต.พลกฤษณ์ คล้ายวิตภัทร</t>
  </si>
  <si>
    <t>สำนักงานส่งเสริม
การบริการวิชาการและ
ภูมิปัญญาชุมชน</t>
  </si>
  <si>
    <t>สำนักงานปลัดกระทรวง
การอุดมศึกษา 
วิทยาศาสตร์</t>
  </si>
  <si>
    <r>
      <t xml:space="preserve">บันทึกข้อตกลงความความร่วมมือโครงการ
ประเมินผลการดำเนินงานและประเมินผลลัพธ์
มูลค่าเพิ่ม ภายใต้ โครงการยกระดับการผลิต
สินค้าเกษตรที่เป็นอัตลักษณ์ที่เหมาะสมกับ
ศักยภาพพื้นที่ของภาค(ภาคใต้) และโครงการ
พัฒนาศักยภาพการผลิตด้านการเกษตร
(การเพิ่มมูลค่าการผลิตและแปรรูปผลิตภัณฑ์
ปศุสัตว์ ด้วยวิทยาศาสตร์และเทคโนโลยี
ในพื้นที่ภาคใต้ชายแดน) ประจำปี 2563 
</t>
    </r>
    <r>
      <rPr>
        <b/>
        <sz val="13"/>
        <color theme="1"/>
        <rFont val="Cordia New"/>
        <family val="2"/>
      </rPr>
      <t>วงเงินตามสัญญา 800,000.00 บาท</t>
    </r>
  </si>
  <si>
    <t>06/08/2563</t>
  </si>
  <si>
    <t>PR2-2563:10/2</t>
  </si>
  <si>
    <t>RV02050200363080078</t>
  </si>
  <si>
    <r>
      <t xml:space="preserve">ทุนอุดหนุนดำเนินการวิจัย เรื่อง โครงการการ
กำจัดก๊าซไฮโดรเจนซัลไฟด์ในก๊าซชีวภาพ
ด้วยระบบ Denitrifying Sulfide Remaoval </t>
    </r>
    <r>
      <rPr>
        <b/>
        <sz val="13"/>
        <color theme="1"/>
        <rFont val="Cordia New"/>
        <family val="2"/>
      </rPr>
      <t>งบประมาณทั้งโครงการ 470,000.00 บาท สำหรับเงินประกันผลงานร้อยละ 5 
(470,000 X 5%)</t>
    </r>
  </si>
  <si>
    <t>07/08/2563</t>
  </si>
  <si>
    <t>PR2-2563:10/7</t>
  </si>
  <si>
    <t>RV02050200363080096</t>
  </si>
  <si>
    <t>อาจารย์ นิดา นุ้ยเด็น</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</si>
  <si>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ในประเทศไทยที่มีผลต่อสรีรวิทยาและอารมณ์ความรู้สึก งวดที่ 1 
</t>
    </r>
    <r>
      <rPr>
        <b/>
        <sz val="13"/>
        <color theme="1"/>
        <rFont val="Cordia New"/>
        <family val="2"/>
      </rPr>
      <t>งบประมาณทั้งสิ้น 400,000 บาท</t>
    </r>
  </si>
  <si>
    <t>26/08/2563</t>
  </si>
  <si>
    <t>PR2-2563:11/10</t>
  </si>
  <si>
    <t>RV02050200363080256</t>
  </si>
  <si>
    <t>คณะอุตสาหกรรมเกษตร
และชีวภาพ</t>
  </si>
  <si>
    <t>สำนักงานพัฒนา
การวิจัยการเกษตร 
(องค์การมหาชน)</t>
  </si>
  <si>
    <r>
      <t xml:space="preserve">เงินค่าธรรมเนียมวิจัยตามหลักเกณฑ์การ
ให้ทุน ในหมวดค่าบริการวิชาการ ตามสัญญา
เลขที่ CRP6105022900 จาก เรื่อง การบำบัด
สีในน้ำเสียจากการแปรรูปปาล์มน้ำมันด้วย
เซลล์เชื้อเพลิงจุลินทรีย์ชนิดใช้กล้าเชื้อรา
ที่ทนสภาวะไร้อากาศเป็นตัวเร่งบนขั้วไฟฟ้า 
(ระยะที่2) งวดที่ 2 
</t>
    </r>
    <r>
      <rPr>
        <b/>
        <sz val="13"/>
        <color theme="1"/>
        <rFont val="Cordia New"/>
        <family val="2"/>
      </rPr>
      <t>งบประมาณทั้งสิ้น 1,464,093.00 บาท</t>
    </r>
    <r>
      <rPr>
        <sz val="13"/>
        <color theme="1"/>
        <rFont val="Cordia New"/>
        <family val="2"/>
      </rPr>
      <t xml:space="preserve"> </t>
    </r>
  </si>
  <si>
    <t>15/09/2563</t>
  </si>
  <si>
    <t>PR2-2563:12/20</t>
  </si>
  <si>
    <t>RV02050200363090264</t>
  </si>
  <si>
    <r>
      <t xml:space="preserve">ตามสัญญาเลขที่ PRP6305031490 
สัญญารับทุนอุดหนุนโครงการวิจัยการเกษตร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2
</t>
    </r>
    <r>
      <rPr>
        <b/>
        <sz val="13"/>
        <color theme="1"/>
        <rFont val="Cordia New"/>
        <family val="2"/>
      </rPr>
      <t xml:space="preserve">วงเงินทั้งโครงการ 2,300,000.00 บาท </t>
    </r>
  </si>
  <si>
    <t>25/09/2563</t>
  </si>
  <si>
    <t>PR2-2563:13/15</t>
  </si>
  <si>
    <t>RV02050200363090423</t>
  </si>
  <si>
    <t>อ.ดร.สืบพงศ์ สงวลศิลป์</t>
  </si>
  <si>
    <t>ศูนย์วิจัยทรัพยากรทาง
ทะเลและชายฝั่งทะเล
อันดามันตอนบน</t>
  </si>
  <si>
    <t>ตามใบสั่งจ้างเลขที่ 214/2563 ได้ว่าจ้างวิเคราะห์ความหลากหลายทางชีวภาพ
ของปลาในแนวปะการัง จำนวน 1 งาน 
วงเงิน 170,000.00 บาท</t>
  </si>
  <si>
    <t>PR2-2563:13/14</t>
  </si>
  <si>
    <t>RV02050200363090424</t>
  </si>
  <si>
    <t>ศูนย์วิจัยทรัพยากรทาง
ทะเลและชายฝั่งอ่าวไทย
ตอนกลางชุมพร</t>
  </si>
  <si>
    <t>ตามใบสั่งจ้างเลขที่ 532/2563 ได้ว่าจ้าง
วิเคราะห์ตัวอย่างองค์ประกอบเลือดการ
เปลี่ยนแปลงทางเนื้อเยื่อวิทยาการติดเชื้อ
ปรสิตและเชื้อแบคทีเรียของปูลม จำนวน 1 
งาน วงเงิน 120,000.00 บาท</t>
  </si>
  <si>
    <t>28/09/2563</t>
  </si>
  <si>
    <t>PR2-2563:13/17</t>
  </si>
  <si>
    <t>RV02050200363090466</t>
  </si>
  <si>
    <t>อาจารย์ ดร.จันทวรรณ น้อยศรี</t>
  </si>
  <si>
    <t>สำนักงานพัฒนาวิทยาศาสตร์และ
เทคโนโลยีแห่งชาติ</t>
  </si>
  <si>
    <r>
      <t xml:space="preserve">ตามสัญญาเลขที่ 78/2557 ให้ทุนอุดหนุน
โครงการวิจัยเรื่อง การเปรียบเทียบผลเฉลย
ของแบบจำลองเชิงตัวเลขอย่างง่ายสำหรับ
สาธิตกระบวนการเกิดเมฆเฉพาะที่ในเขตร้อน: 
การทดลองการร้อนขึ้นของพื้นผิว งวดสุดท้าย
</t>
    </r>
    <r>
      <rPr>
        <b/>
        <sz val="13"/>
        <color theme="1"/>
        <rFont val="Cordia New"/>
        <family val="2"/>
      </rPr>
      <t xml:space="preserve">วงเงินงบประมาณทั้งสิ้น 250,000.00 บาท </t>
    </r>
  </si>
  <si>
    <t>RV02050200363090676</t>
  </si>
  <si>
    <t>ไม่ทราบแหล่งที่มา</t>
  </si>
  <si>
    <t>ตามหนังสือที่ อว8206.04/1431 ลว.29/09/63 
เรื่อง ขออนุมัติเบิกเงินทุนอุดหนุนการวิจัยจาก
แหล่งทุนวิจัยภายนอกนำส่งเป็นรายได้กองทุน
วิจัยมหาวิทยาลัยทักษิณ สำหรับเงินโอนผ่าน
บัญชีในวันที่ 05/06/63 จำนวนเงิน 20,000 บ. 
แต่ไม่มีนักวิจัยประสานงานมายังสถานบันวิจัย
เพื่อให้เป็นตามหลักการรับรู้รายได้จึงขอรับรู้
เป็นรายได้ของกองทุนวิจัยทั้งจำนวน</t>
  </si>
  <si>
    <r>
      <t xml:space="preserve">PR2-2564:1/5
</t>
    </r>
    <r>
      <rPr>
        <b/>
        <u/>
        <sz val="13"/>
        <color rgb="FFFF0000"/>
        <rFont val="Cordia New"/>
        <family val="2"/>
      </rPr>
      <t>รายได้ค้างรับ</t>
    </r>
  </si>
  <si>
    <t>RV02050200363090677
JV02050200363090067</t>
  </si>
  <si>
    <t>ผศ.ดร.ชัยสิทธิ์ นิยะสม</t>
  </si>
  <si>
    <t>สำนักคณะกรรมการ
ส่งเสริมวิทยาศาสตร์ วิจัยและนวัตกรรม(สกสว.)</t>
  </si>
  <si>
    <t>เงินเหลือจากโครงการวิจัย(เนื่องจากโครงการ
สิ้นสุดแต่ไม่มีการเบิกจ่ายค่าตอบแทนงวด
สุดท้าย) ตามเลขที่สัญญา MRG5580073 
โครงการวิจัยเรื่อง การศึกษาความหลากหลาย
ของอาร์เคียในอาหารหมักภาคใต้ของไทยที่
ปริมาณเกลือสูงด้วยเทคนิค 16S rDNA-DGGE 
และคุณสมบัติทางชีวภาพของอาร์คีโอซินที่ผลิต
โดยอาร์เคียสายพันธุ์ที่ชอบเกลือ</t>
  </si>
  <si>
    <t>JV02050200363090278</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</si>
  <si>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งวดที่สุดท้าย
</t>
    </r>
    <r>
      <rPr>
        <b/>
        <sz val="13"/>
        <color theme="1"/>
        <rFont val="Cordia New"/>
        <family val="2"/>
      </rPr>
      <t>วงเงินตามงบประมาณ 250,000 บาท</t>
    </r>
    <r>
      <rPr>
        <sz val="13"/>
        <color theme="1"/>
        <rFont val="Cordia New"/>
        <family val="2"/>
      </rPr>
      <t xml:space="preserve"> </t>
    </r>
  </si>
  <si>
    <t>รวมยอดเงินรับรายได้ประเภททุนสนับสนุนเพื่อการวิจัยระหว่างเดือนตุลาคม 2562 - กันยายน 2563 เป็นเงินทั้งสิ้น</t>
  </si>
  <si>
    <t>(1)</t>
  </si>
  <si>
    <t>(2)</t>
  </si>
  <si>
    <t xml:space="preserve">สรุปรายการเงินรายได้เพื่อการวิจัยจากแหล่งทุนภายนอก จัดสรรเข้าเงินกองทุนวิจัยมหาวิทยาลัยทักษิณ ทั้งปีงบประมาณ 2563 ( (1) + (2) ) = </t>
  </si>
  <si>
    <r>
      <rPr>
        <b/>
        <u/>
        <sz val="13"/>
        <color theme="1"/>
        <rFont val="Cordia New"/>
        <family val="2"/>
      </rPr>
      <t>หัก</t>
    </r>
    <r>
      <rPr>
        <sz val="13"/>
        <color theme="1"/>
        <rFont val="Cordia New"/>
        <family val="2"/>
      </rPr>
      <t xml:space="preserve">   </t>
    </r>
    <r>
      <rPr>
        <b/>
        <sz val="13"/>
        <color theme="1"/>
        <rFont val="Cordia New"/>
        <family val="2"/>
      </rPr>
      <t>รายการจัดสรรเข้าเงินกองทุนวิจัยมหาวิทยาลัยทักษิณ ระหว่างปีงบประมาณ 2563</t>
    </r>
  </si>
  <si>
    <t>คงเหลือจัดสรรเข้าเงินกองทุนวิจัยมหาวิทยาลัยทักษิณ สิ้นปีงบประมาณ 2563</t>
  </si>
  <si>
    <t>ภารกิจบัญชีดำเนินการปรับปรุงรายการ ณ วันที่ 30 กันยายน 2563 ดังนี้</t>
  </si>
  <si>
    <t>1. ปรับปรุงค่าใช้จ่ายและรายได้ของสถาบันวิจัยและพัฒนา จากการตัดงบประมาณเป็นเงินบำรุงให้กับกองทุนวิจัยมหาวิทยาลัยทักษิณ 5 % ตามแผนการเบิกจ่ายและแผนการรับเงิน</t>
  </si>
  <si>
    <t xml:space="preserve">            เดบิต   รายได้เพื่อการวิจัยจากแหล่งทุนภายนอก</t>
  </si>
  <si>
    <t xml:space="preserve">                         เครดิต  ค่าใช้จ่ายทุนวิจัยภายนอก</t>
  </si>
  <si>
    <t>2. ปรับปรุงรายได้ค้างรับ พร้อมรับรู้รายได้เพื่อการวิจัยจากแหล่งทุนภายนอก ในส่วนของงบการเงินกองทุนวิจัยมหาวิทยาลัยทักษิณ (เนื่องจากยังไม่ได้รับตัวเงินแต่มีการรับทราบว่ามีการตัดโอนงบประมาณ)</t>
  </si>
  <si>
    <t xml:space="preserve">            เดบิต   รายได้ค้างรับ</t>
  </si>
  <si>
    <t xml:space="preserve">                         เครดิต  รายได้เพื่อการวิจัยจากแหล่งทุนภายนอก</t>
  </si>
  <si>
    <t>3. เมื่อได้รับการโอนเงินบำรุงมหาวิทยาลัยเข้าบัญชีเงินฝากธนาคารเรียบร้อยแล้ว</t>
  </si>
  <si>
    <t xml:space="preserve">            เดบิต   เงินฝากธนาคาร</t>
  </si>
  <si>
    <t xml:space="preserve">                         เครดิต  รายได้ค้างรับ</t>
  </si>
  <si>
    <t>หมายเหตุ : ปฏิบัติภายใต้ระเบียบคณะกรรมการการเงินและทรัพย์สิน ว่าด้วย การบริหารจัดการทุนอุดหนุนการวิจัยจากแหล่งทุนภายนอก พ.ศ. 2557  ข้อที่ 5.6 การขอรับทุนอุดหนุนการวิจัย</t>
  </si>
  <si>
    <t xml:space="preserve">               และจัดสรรงบประมาณค่าบริหารจัดการทุนอุดหนุนการวิจัยที่ได้รับจากแหล่งทุนภายนอก ดำเนินการตามข้อที่ 5.6.2 การจัดสรรงบประมาณค่าบริหาจัดการทุนอุดหนุนการวิจัย</t>
  </si>
  <si>
    <t xml:space="preserve">               ที่ได้รับจากแหล่งทุน มหาวิทยาลัยจะเป็นผู้รับเงินทุนวิจัย และจะหักค่าธรรมเนียมร้อยละ 10 ของงบประมาณที่ได้รับจากแหล่งทุนภายนอกทุนวิจัย และแบ่งสัดส่วนดังนี้     </t>
  </si>
  <si>
    <t xml:space="preserve">   </t>
  </si>
  <si>
    <t>1. กองทุนวิจัยมหาวิทยาลัยทักษิณ ร้อยละ 50</t>
  </si>
  <si>
    <t>2. คณะ / หน่วยงานต้นสังกัดของหัวหน้าโครงการวิจัย ร้อยละ 50</t>
  </si>
  <si>
    <t>ทะเบียนคุมเงินทุนวิจัยภายนอก ปีงบประมาณ 2558</t>
  </si>
  <si>
    <t>01/12/2564</t>
  </si>
  <si>
    <t>PR2-2565:5/9</t>
  </si>
  <si>
    <t>RV00020900065120003</t>
  </si>
  <si>
    <t>องค์การบริหารส่วนจังหวัด
ภูเก็ต</t>
  </si>
  <si>
    <t>PR2-2565:5/12</t>
  </si>
  <si>
    <t>RV00020900065120005</t>
  </si>
  <si>
    <t>PL2-2565:1/28</t>
  </si>
  <si>
    <t>RV00020900065120016</t>
  </si>
  <si>
    <t>หักครบถ้วน
แล้ว</t>
  </si>
  <si>
    <t>PL2-2565:1/29</t>
  </si>
  <si>
    <t>RV00020900065120017</t>
  </si>
  <si>
    <t>08/12/2564</t>
  </si>
  <si>
    <t>PR2-2565:6/7</t>
  </si>
  <si>
    <t>RV00020900065120061</t>
  </si>
  <si>
    <t>PR2-2565:6/8</t>
  </si>
  <si>
    <t>17/12/2564</t>
  </si>
  <si>
    <t>PL2-2565:1/44</t>
  </si>
  <si>
    <t>RV00020900065120120</t>
  </si>
  <si>
    <t>PL2-2565:1/46</t>
  </si>
  <si>
    <t>RV00020900065120121</t>
  </si>
  <si>
    <t>20/12/2564</t>
  </si>
  <si>
    <t>PL2-2565:1/47</t>
  </si>
  <si>
    <t>RV00020900065120124</t>
  </si>
  <si>
    <t>10/01/2565</t>
  </si>
  <si>
    <t>PL2-2565:2/9</t>
  </si>
  <si>
    <t>RV00020900065010046</t>
  </si>
  <si>
    <t>11/01/2565</t>
  </si>
  <si>
    <t>PR2-2565:9/36</t>
  </si>
  <si>
    <t>RV00020900065010054</t>
  </si>
  <si>
    <t>14/01/2565</t>
  </si>
  <si>
    <t>PR2-2565:10/8</t>
  </si>
  <si>
    <t>RV00020900065010078</t>
  </si>
  <si>
    <t>ผศ.ชวนพิศ ชุมคง</t>
  </si>
  <si>
    <t>สำนักงานเลขาธิการคุรุสภา</t>
  </si>
  <si>
    <t>08/02/2565</t>
  </si>
  <si>
    <t>PR2-2565:12/25</t>
  </si>
  <si>
    <t>RV00020900065020088</t>
  </si>
  <si>
    <t>ผศ.ดร.มาโนช ดินลานสกูล</t>
  </si>
  <si>
    <t>เงินงวดพิเศษ ก . ตามสัญญาเลขที่ 
RDG62H0016 สำหรับโครงการวิจัยเรื่อง 
ถอดบทเรียนการจัดค่ายพัฒนาการอ่าน
การเขียน : กรณีศึกษาสมาชิกกลุ่มวรรณกรรมคลื่นใหม่และกลุ่มนาคร</t>
  </si>
  <si>
    <t>PR2-2565:12/21</t>
  </si>
  <si>
    <t>RV00020900065020090</t>
  </si>
  <si>
    <t xml:space="preserve">รศ.ดร.กรกฎ ทองขะโชค </t>
  </si>
  <si>
    <t xml:space="preserve">สำนักงานคณะกรรมการ
สิทธิมนุษยชนแห่งชาติ </t>
  </si>
  <si>
    <t>PR2-2565:5/3</t>
  </si>
  <si>
    <t>รศ.ดร.สรพงค์ เบญจศรี</t>
  </si>
  <si>
    <t>PR2-2565:12/27</t>
  </si>
  <si>
    <t>RV00020900065020092</t>
  </si>
  <si>
    <t xml:space="preserve">สำนักงานกองทุนสนับสนุน
การสร้างเสริมสุขภาพ(สสส.)
ภายใต้โครงการศูนย์ศึกษา
ปัญหาการเสพติด </t>
  </si>
  <si>
    <t>18/02/2565</t>
  </si>
  <si>
    <t>PR2-2565:13/2</t>
  </si>
  <si>
    <t>RV00020900065020169</t>
  </si>
  <si>
    <t>01/03/2565</t>
  </si>
  <si>
    <t>PR2-2565:13/24</t>
  </si>
  <si>
    <t>RV00020900065030008</t>
  </si>
  <si>
    <t>สถาบันส่งเสริมการสอน
วิทยาศาสตร์และเทคโนโลยี</t>
  </si>
  <si>
    <t>PR2-2565:13/25</t>
  </si>
  <si>
    <t>RV00020900065030009</t>
  </si>
  <si>
    <t>10/03/2565</t>
  </si>
  <si>
    <t>PR2-2565:14/38</t>
  </si>
  <si>
    <t>RV00020900065030101</t>
  </si>
  <si>
    <t>หักครบถ้วน
แล้วใน
งวด 1-2</t>
  </si>
  <si>
    <t>PR2-2565:14/39</t>
  </si>
  <si>
    <t>PR2-2565:14/40</t>
  </si>
  <si>
    <t>PR2-2565:14/41</t>
  </si>
  <si>
    <t>RV00020900065030102</t>
  </si>
  <si>
    <t>นางสาวปริญญ์ ขวัญเรียง</t>
  </si>
  <si>
    <t>ปลัดกระทรวงการอุดม
ศึกษา วิทยาศาสตร์ วิจัย
และนวัตกรรม</t>
  </si>
  <si>
    <t>11/03/2565</t>
  </si>
  <si>
    <t>PR2-2565:14/44</t>
  </si>
  <si>
    <t>RV00020900065030109</t>
  </si>
  <si>
    <t>คณะมนุษยศาสตร์และ
สังคมศาสตร์</t>
  </si>
  <si>
    <t>30/03/2565</t>
  </si>
  <si>
    <t>PR2-2565:16/46</t>
  </si>
  <si>
    <t>RV00020900065030229</t>
  </si>
  <si>
    <t>PR2-2565:16/47</t>
  </si>
  <si>
    <t>PR2-2565:16/48</t>
  </si>
  <si>
    <t>PR2-2565:5/11</t>
  </si>
  <si>
    <t>RV00020900065120002</t>
  </si>
  <si>
    <t>บริษัท ไทยยูเนี่ยน ฟีดมิลด์ 
จำกัด (มหาชน)</t>
  </si>
  <si>
    <t>PR2-2565:5/19</t>
  </si>
  <si>
    <t>RV00020900065120006</t>
  </si>
  <si>
    <t>อ.ดร.พรวิชัย เต็มบุตร</t>
  </si>
  <si>
    <t>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1 
การประเมินประสิทธิภาพภาคสนามและ
การเฝ้าระวังหลังตลาดของชุดตรวจแลมป์
เปลี่ยนสีสำหรับการตรวจคัดกรองเชื้อไวรัส
โคโรน่าสายพันธุ์ใหม่ 2019 (COVID-19)</t>
  </si>
  <si>
    <t>PR2-2565:5/18</t>
  </si>
  <si>
    <t xml:space="preserve">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2 
การประเมินประสิทธิภาพและความปลอดภัยของผลิตภัณฑ์สมุนไพรพืชกระท่อมเพื่อสุขภาพ </t>
  </si>
  <si>
    <t>30/12/2564</t>
  </si>
  <si>
    <t>PR2-2565:7/39</t>
  </si>
  <si>
    <t>RV00020900065120199</t>
  </si>
  <si>
    <t>PR2-2565:10/7</t>
  </si>
  <si>
    <t>RV00020900065010079</t>
  </si>
  <si>
    <t>หักส่งใน
งวดสุดท้าย
และ
งบลงทุน
ได้รับยกเว้น</t>
  </si>
  <si>
    <t>PR2-2565:12/24</t>
  </si>
  <si>
    <t>RV00020900065020089</t>
  </si>
  <si>
    <t>09/03/2565</t>
  </si>
  <si>
    <t>PR2-2565:14/34</t>
  </si>
  <si>
    <t>RV00020900065030094</t>
  </si>
  <si>
    <t xml:space="preserve">งบบริหารจัดการชุดโครงการวิจัย : 
เพิ่มศักยภาพครูให้มีสมรรถนะของครูยุคใหม่
สำหรับการเรียนรู้ศตวรรษที่ 21 (ต่อเนื่องปีที่ 
3 ปี 2565): โครงการวิจัยย่อย 1 การประเมิน
เชิงพัฒนานวัตกรรมโรงเรียนประกอบการ
ฐานชุมชน เพื่อหนุนเสริมสมรรถนะเทคโนโลยี
ดิจิทัลและทักษะเชิงอนาคตสำหรับนักเรียน
มัธยมศึกษา โรงเรียนในพื้นที่นวัตกรรม
การศึกษาจังหวัดสตูลและชายแดนใต้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</si>
  <si>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2 รูปแบบผู้นำ
การขับเคลื่อนนวัตกรรมเพื่อส่งเสริมสมรรถนะ
ของผู้เรียนด้านวิทยาศาสตร์ คณิตศาสตร์และเทคโนโลยีที่บูรณาการกับศักยภาพเชิงพื้นที่ 
ภายใต้พื้นที่นวัตกรรมการศึกษา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</si>
  <si>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3 การพัฒนา
รูปแบบการจัดการเรียนรู้โดยใช้โครงงาน
เป็นฐานร่วมกับ Project 14 เพื่อลดความ
เหลื่อมล้ำตามปรัชญาเศรษฐกิจพอเพียง 
โรงเรียนพื้นที่เกาะ จังหวัดสตูล </t>
  </si>
  <si>
    <t>รศ.ดร.กนกพร สังขรักษ์</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</si>
  <si>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 โครงการวิจัยย่อย 4 โครงการอบรมปฏิบัติการ GLOBE Academy : train 
the trainer ในพื้นที่นวัตกรรมการศึกษา
จังหวัดสตูลและจังหวัดชายแดนใต้ </t>
  </si>
  <si>
    <t>นางสาวพิมพ์ประภา ชัยจักร</t>
  </si>
  <si>
    <t>PR2-2565:14/48</t>
  </si>
  <si>
    <t>RV00020900065030107</t>
  </si>
  <si>
    <t>PR2-2565:14/45</t>
  </si>
  <si>
    <t>RV00020900065030108</t>
  </si>
  <si>
    <t>สถาบันเทคโนโลยีนิวเคลียร์แห่งชาติ (องค์การมหาชน)</t>
  </si>
  <si>
    <t>16/03/2565</t>
  </si>
  <si>
    <t>PR2-2565:15/12</t>
  </si>
  <si>
    <t>RV00020900065030138</t>
  </si>
  <si>
    <t>ผศ.ดร.อมรรัตน์ ถนนแก้ว</t>
  </si>
  <si>
    <t>เงินค่าธรรมเนียมอุดหนุนสถาบันให้
มหาวิทยาลัยทักษิณ เนื่องจากใช้บุคลากร
ของมหาวิทยาลัยเข้าร่วมดำเนินโครงการวิจัย 
(ภายใต้โครงการวิจัยบริหารจัดการของ
มหาวิทยาลัยสงขลานครินทร์ ซึ่งทางหน่วยงาน
ที่ร่วมไม่ได้จัดสรรงบดำเนินการสำหรับการวิจัยให้กับมหาวิทยาลัยทักษิณ) ตามสัญญาร่วมทุนภายใต้โครงการ การยกระดับการผลิตส่วนประกอบฟังก์ชั่นจากข้าวมีสีอัตลักษณ์ไทยสู่การใช้ประโยชน์เชิงพาณิชย์ : กรณีนำร่องข้าวสังข์หยด (ภายใต้แผนงาน การขับเคลื่อนเศรษฐกิจชีวภาพ-เศรษฐกิจหมุนเวียน-เศรษฐกิจสีเขียว)</t>
  </si>
  <si>
    <t>18/03/2565</t>
  </si>
  <si>
    <t>PR2-2565:15/22</t>
  </si>
  <si>
    <t>RV00020900065030160</t>
  </si>
  <si>
    <t>21/03/2565</t>
  </si>
  <si>
    <t>PR2-2565:15/26</t>
  </si>
  <si>
    <t>RV00020900065030164</t>
  </si>
  <si>
    <t>ผู้ช่วยศาสตราจารย์ถาวร จันทโชติ</t>
  </si>
  <si>
    <t xml:space="preserve">หักส่งใน
งวดสุดท้าย
</t>
  </si>
  <si>
    <t>23/03/2565</t>
  </si>
  <si>
    <t>PR2-2565:15/44</t>
  </si>
  <si>
    <t>RV00020900065030184</t>
  </si>
  <si>
    <t>PR2-2565:16/49</t>
  </si>
  <si>
    <t>RV00020900065030228</t>
  </si>
  <si>
    <t>ยกเว้น
ค่าธรรมเนียม</t>
  </si>
  <si>
    <t>17/05/2565</t>
  </si>
  <si>
    <t>PR2-2565:22/3</t>
  </si>
  <si>
    <t>RV00020900065050117</t>
  </si>
  <si>
    <t>สำนักงานปลัดกระทรวง
การอุดมศึกษา 
วิทยาศาสตร์ วิจัยและ
นวัตกรรม</t>
  </si>
  <si>
    <t>PR2-2565:22/4</t>
  </si>
  <si>
    <t>RV00020900065050118</t>
  </si>
  <si>
    <t>23/05/2565</t>
  </si>
  <si>
    <t>PR2-2565:23/21</t>
  </si>
  <si>
    <t>RV00020900065050182</t>
  </si>
  <si>
    <t xml:space="preserve">ศูนย์อำนวยการบริหาร
จังหวัดชายแดนภาคใต้ </t>
  </si>
  <si>
    <t>25/05/2565</t>
  </si>
  <si>
    <t>PR2-2565:24/32</t>
  </si>
  <si>
    <t>RV00020900065050219</t>
  </si>
  <si>
    <t>ดร.ระวีวัฒน์ ไทยเจริญ</t>
  </si>
  <si>
    <t>สำนักงานสภานโยบาย
การอุดมศึกษา 
วิทยาศาสตร์ วิจัยและ
นวัตกรรมแห่งชาติ</t>
  </si>
  <si>
    <t>15/06/2565</t>
  </si>
  <si>
    <t>RV00020900065060165</t>
  </si>
  <si>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</si>
  <si>
    <t>PR2-2565:29/4</t>
  </si>
  <si>
    <t>RV00020900065060166</t>
  </si>
  <si>
    <t>16/06/2565</t>
  </si>
  <si>
    <t>PR2-2565:29/7</t>
  </si>
  <si>
    <t>RV00020900065060171</t>
  </si>
  <si>
    <t>PR2-2565:29/8</t>
  </si>
  <si>
    <t>RV00020900065060172</t>
  </si>
  <si>
    <t>อ.อัฎฐพล เทพยา</t>
  </si>
  <si>
    <t>21/06/2565</t>
  </si>
  <si>
    <t>PR2-2565:29/26</t>
  </si>
  <si>
    <t>RV00020900065060195</t>
  </si>
  <si>
    <t>27/06/2565</t>
  </si>
  <si>
    <t>PR2-2565:31/19</t>
  </si>
  <si>
    <t>RV00020900065060259</t>
  </si>
  <si>
    <t>สำนักงานคณะกรรมการ
สิทธิมนุษยชนแห่งชาติ</t>
  </si>
  <si>
    <t>28/06/2565</t>
  </si>
  <si>
    <t>PR2-2565:31/23</t>
  </si>
  <si>
    <t>RV00020900065060270</t>
  </si>
  <si>
    <t>อ.จิราพร คงรอด</t>
  </si>
  <si>
    <t>หักในงวดสุดท้าย</t>
  </si>
  <si>
    <t>PR2-2565:31/24</t>
  </si>
  <si>
    <t>RV00020900065060271</t>
  </si>
  <si>
    <t>อ.ลัดดา ประสาร</t>
  </si>
  <si>
    <t>ผศ.ดร.ก้องกิดากร บุญช่วย</t>
  </si>
  <si>
    <t>30/06/2565</t>
  </si>
  <si>
    <t>PR2-2565:31/45</t>
  </si>
  <si>
    <t>RV00020900065060312</t>
  </si>
  <si>
    <t>รศ.ดร.สมพงศ์ โอทอง</t>
  </si>
  <si>
    <t xml:space="preserve">บริษัท ไทยอีสเทิร์น 
ไบโอ พาวเวอร์ จำกัด </t>
  </si>
  <si>
    <t>06/07/2565</t>
  </si>
  <si>
    <t>PR2-2565:33/2</t>
  </si>
  <si>
    <t>RV00020900065070073</t>
  </si>
  <si>
    <t>มูลนิธิคลองโต๊ะเหล็ม
อะคาเดมี</t>
  </si>
  <si>
    <t>PR2-2565:33/4</t>
  </si>
  <si>
    <t>RV00020900065070075</t>
  </si>
  <si>
    <t xml:space="preserve">อ.ดร.นิจกานต์ หนูอุไร </t>
  </si>
  <si>
    <t xml:space="preserve">ห้างหุ้นส่วนจำกัด เคยนิคะ </t>
  </si>
  <si>
    <t>19/07/2565</t>
  </si>
  <si>
    <t>PR2-2565:34/11</t>
  </si>
  <si>
    <t>RV00020900065070123</t>
  </si>
  <si>
    <t>21/07/2565</t>
  </si>
  <si>
    <t>PR2-2565:34/17</t>
  </si>
  <si>
    <t>RV00020900065070133</t>
  </si>
  <si>
    <t>รศ.ดร.พรพันธุ์ เขมคุณาศัย</t>
  </si>
  <si>
    <t>15/08/2565</t>
  </si>
  <si>
    <t>PL2-2565:3/25</t>
  </si>
  <si>
    <t>RV00020900065080213</t>
  </si>
  <si>
    <t>18/08/2565</t>
  </si>
  <si>
    <t>PR2-2565:38/35</t>
  </si>
  <si>
    <t>RV00020900065080273</t>
  </si>
  <si>
    <t>05/09/2565</t>
  </si>
  <si>
    <t>PR2-2565:41/16</t>
  </si>
  <si>
    <t>RV00020900065090048</t>
  </si>
  <si>
    <t>13/09/2565</t>
  </si>
  <si>
    <t>PR2-2565:42/48</t>
  </si>
  <si>
    <t>RV00020900065090257</t>
  </si>
  <si>
    <t>PR2-2565:42/47</t>
  </si>
  <si>
    <t xml:space="preserve">RV00020900065090258
และ
JV00020900065090017
</t>
  </si>
  <si>
    <t>สำนักงานกองทุน
เพื่อความเสมอภาค
ทางการศึกษา</t>
  </si>
  <si>
    <t>19/09/2565</t>
  </si>
  <si>
    <t>PR2-2565:44/37</t>
  </si>
  <si>
    <t>RV00020900065090369</t>
  </si>
  <si>
    <t>29/09/2565</t>
  </si>
  <si>
    <t>PR2-2565:46/28</t>
  </si>
  <si>
    <t>RV00020900065090596</t>
  </si>
  <si>
    <t>รศ.ดร.ณฐพงศ์ จิตรนิรัตน์</t>
  </si>
  <si>
    <t xml:space="preserve">เงินงวดพิเศษ ก . ตามสัญญาเลขที่ RDG62H0011 สำหรับโครงการวิจัยเรื่อง 
คนจนเมืองที่เปลี่ยนไปในสังคมเมืองที่กำลังเปลี่ยนแปลง : กรณีศึกษาจังหวัดสงขลา </t>
  </si>
  <si>
    <t>RV00020900065090597</t>
  </si>
  <si>
    <t>องค์กรปกครองส่วนท้องถิ่น
จำนวน 23 หน่วยงาน</t>
  </si>
  <si>
    <t>JV00020900065090210</t>
  </si>
  <si>
    <t>ยกเว้นค่าธรรมเนียมทุนวิจัยร่วม</t>
  </si>
  <si>
    <t>JV00020900065090204</t>
  </si>
  <si>
    <t>JV00020900065090211</t>
  </si>
  <si>
    <t>JV00020900065090209</t>
  </si>
  <si>
    <t xml:space="preserve">อ.ดร.วิชชาญ จุลหริก </t>
  </si>
  <si>
    <t>JV00020900065090206</t>
  </si>
  <si>
    <t>JV00020900065090212</t>
  </si>
  <si>
    <t>JV00020900065090208</t>
  </si>
  <si>
    <t>ยกเว้นค่าธรรมเนียมในงวดที่ 2</t>
  </si>
  <si>
    <t>JV00020900065090203</t>
  </si>
  <si>
    <t>JV00020900065090207</t>
  </si>
  <si>
    <t>JV00020900065090200</t>
  </si>
  <si>
    <t>ทุนอุดหนุนดำเนินการวิจัยแผนงานวิจัยเรื่อง การสำรวจความพึงพอใจของประชาชนที่มี
ต่อผลการดำเนินงานขององค์กรปกครองส่วน
ท้องถิ่น ประจำปีงบประมาณ พ.ศ. 2565</t>
  </si>
  <si>
    <t>JV00020900065090201</t>
  </si>
  <si>
    <t>องค์กรปกครองส่วนท้องถิ่น
จำนวน 102 หน่วยงาน</t>
  </si>
  <si>
    <t>JV00020900065090214</t>
  </si>
  <si>
    <t>หักส่งครบถ้วนในงวดที่ 1-3</t>
  </si>
  <si>
    <t>RV00020900065020091
JV00020900065020012</t>
  </si>
  <si>
    <t>หักครบถ้วน
แล้วใน
งวดที่ 1-2</t>
  </si>
  <si>
    <t>08/04/2565</t>
  </si>
  <si>
    <t>PR2-2565:17/45</t>
  </si>
  <si>
    <t>RV00020900065040089</t>
  </si>
  <si>
    <t>DSM NUTRITIONAL 
PRODUCTS (THAILAND) 
Ltd.</t>
  </si>
  <si>
    <t>05/05/2565</t>
  </si>
  <si>
    <t>PR2-2565:20/3</t>
  </si>
  <si>
    <t>RV00020900065050037</t>
  </si>
  <si>
    <t>PR2-2565:22/5</t>
  </si>
  <si>
    <t>RV00020900065050116</t>
  </si>
  <si>
    <t>บริษัท BASF New
 Business Gmbh</t>
  </si>
  <si>
    <t>24/05/2565</t>
  </si>
  <si>
    <t>PR2-2565:24/26</t>
  </si>
  <si>
    <t>RV00020900065050189</t>
  </si>
  <si>
    <t>PR2-2565:24/33</t>
  </si>
  <si>
    <t>RV00020900065050220</t>
  </si>
  <si>
    <t>27/05/2565</t>
  </si>
  <si>
    <t>PR2-2565:25/31</t>
  </si>
  <si>
    <t>RV00020900065050249</t>
  </si>
  <si>
    <t>14/06/2565</t>
  </si>
  <si>
    <t>PR2-2565:28/50</t>
  </si>
  <si>
    <t>RV00020900065060143</t>
  </si>
  <si>
    <t>รศ.ดร. ณฐพงศ์ จิตรนิรัตน์</t>
  </si>
  <si>
    <t>PR2-2565:29/9</t>
  </si>
  <si>
    <t>RV00020900065060170</t>
  </si>
  <si>
    <t>อ.ดร.วิกาญดา ทองเนื้อแข็ง</t>
  </si>
  <si>
    <t>PR2-2565:31/17</t>
  </si>
  <si>
    <t>RV00020900065060260</t>
  </si>
  <si>
    <t xml:space="preserve">สำหรับเงินสนับสนุนค่าธรรมเนียมอุดหนุนสถาบันตามแหล่งเงินกำหนด (เงินสนับสนุน
จากโครงการวิจัยจากหน่วยบริหารจัดการทุน
ด้านการเพิ่มความสามารถในการแข่งขันของ
ประเทศ และสำนักงานการวิจัยแห่งชาติ) 
สำหรับโครงการที่ 2 การประเมินประสิทธิภาพ
และความปลอดภัยของผลิตภัณฑ์สมุนไพรพืช
กระท่อมเพื่อสุขภาพ </t>
  </si>
  <si>
    <t>ผศ.ดร.เตือนตา ร่าหมาน</t>
  </si>
  <si>
    <t>ดร.วีระวุฒิ แนบเพชร</t>
  </si>
  <si>
    <t>รศ.ดร.จตุพร แก้วอ่อน</t>
  </si>
  <si>
    <t>PR2-2565:31/46</t>
  </si>
  <si>
    <t>RV00020900065060315</t>
  </si>
  <si>
    <t>PR2-2565:33/3</t>
  </si>
  <si>
    <t>RV00020900065070074</t>
  </si>
  <si>
    <t>ผศ.ดร.กฤษฎา พัชรสิทธิ์</t>
  </si>
  <si>
    <t>บริษัท ณิชนันทน์การค้า 
ATK58</t>
  </si>
  <si>
    <t>ยกเว้น
ค่าธรรมเนียม
การวิจัย</t>
  </si>
  <si>
    <t>อ.ดร.ทิพย์ทิวา สัมพันธมิตร</t>
  </si>
  <si>
    <t>PR2-2565:5/7</t>
  </si>
  <si>
    <t>RV00020900065080274
JV00020900065080021</t>
  </si>
  <si>
    <t>สำนักงานการวิจัยแห่งชาติ (วช.)</t>
  </si>
  <si>
    <t>22/08/2565</t>
  </si>
  <si>
    <t>PR2-2565:39/1</t>
  </si>
  <si>
    <t>RV00020900065080303</t>
  </si>
  <si>
    <t>หักครบแล้วในงวดที่ 3</t>
  </si>
  <si>
    <t>PR2-2564:41/15</t>
  </si>
  <si>
    <t xml:space="preserve">RV00020900065090047
และ
JV00020900065090009
</t>
  </si>
  <si>
    <t>สำนักส่งเสริมการบริการ
วิชาการและภูมิปัญญา
ชุมชน</t>
  </si>
  <si>
    <t>PR2-2565:44/41</t>
  </si>
  <si>
    <t>RV00020900065090370</t>
  </si>
  <si>
    <t>นางสาวมาณี แก้วชนิด</t>
  </si>
  <si>
    <t xml:space="preserve">บริษัทซิกคอร์ (SICCOR) 
จำกัด </t>
  </si>
  <si>
    <t>JV00020900065090213</t>
  </si>
  <si>
    <t>JV00020900065090225</t>
  </si>
  <si>
    <t>หักส่งครบถ้วนในงวดที่ 1</t>
  </si>
  <si>
    <t>JV00020900065090229</t>
  </si>
  <si>
    <t>มหาวิทยาลัยทักษิณ</t>
  </si>
  <si>
    <t>ประจำปีงบประมาณ พ.ศ. 2565   ตั้งแต่วันที่  1  ตุลาคม 2564  ถึงวันที่ 30 กันยายน 2565</t>
  </si>
  <si>
    <t>ส่วนงาน / หน่วยงาน</t>
  </si>
  <si>
    <t xml:space="preserve">จัดสรรให้แก่กองทุนวิจัย ม. ทักษิณ
</t>
  </si>
  <si>
    <t xml:space="preserve">จัดสรรให้แก่สำนักงาน/คณะ/สาขาของนักวิจัย
</t>
  </si>
  <si>
    <r>
      <rPr>
        <b/>
        <u/>
        <sz val="12"/>
        <color indexed="8"/>
        <rFont val="Angsana New"/>
        <family val="1"/>
      </rPr>
      <t>ยกเว้น</t>
    </r>
    <r>
      <rPr>
        <b/>
        <sz val="12"/>
        <color indexed="8"/>
        <rFont val="Angsana New"/>
        <family val="1"/>
      </rPr>
      <t xml:space="preserve">
ค่าธรรมเนียมการวิจัย</t>
    </r>
  </si>
  <si>
    <t>รวมทั้งสิ้น</t>
  </si>
  <si>
    <t>รายละเอียดรายได้เพื่อการวิจัยจากแหล่งทุนภายนอก</t>
  </si>
  <si>
    <r>
      <rPr>
        <b/>
        <u/>
        <sz val="13"/>
        <color indexed="8"/>
        <rFont val="Angsana New"/>
        <family val="1"/>
      </rPr>
      <t>ยกเว้น</t>
    </r>
    <r>
      <rPr>
        <b/>
        <sz val="13"/>
        <color indexed="8"/>
        <rFont val="Angsana New"/>
        <family val="1"/>
      </rPr>
      <t xml:space="preserve">
ค่าธรรมเนียม
การวิจัย</t>
    </r>
  </si>
  <si>
    <r>
      <t xml:space="preserve">ทุนสนับสนุนการวิจัย เรื่อง การพัฒนา
กระถางปลูกพืชย่อยได้จากวัสดุเศษเหลือ
ปาล์มน้ำมัน 
</t>
    </r>
    <r>
      <rPr>
        <b/>
        <sz val="13"/>
        <color indexed="10"/>
        <rFont val="Angsana New"/>
        <family val="1"/>
      </rPr>
      <t>งบประมาณทั้งสิ้น 835,000.00 บาท</t>
    </r>
  </si>
  <si>
    <r>
      <t xml:space="preserve">ทุนอุดหนุนการทำกิจกรรมส่งเสริมและ
สนับสนุนการวิจัยและนวัตกรรม เรื่อง 
การพัฒนาการผลิตไก่คอล่อนเชิงพาณิชย์ในจังหวัดพัทลุง งวดที่ 3
</t>
    </r>
    <r>
      <rPr>
        <b/>
        <sz val="13"/>
        <color indexed="10"/>
        <rFont val="Angsana New"/>
        <family val="1"/>
      </rPr>
      <t xml:space="preserve">วงเงินทั้งสิ้น 650,000 บาท </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</si>
  <si>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1
</t>
    </r>
    <r>
      <rPr>
        <b/>
        <sz val="13"/>
        <color indexed="10"/>
        <rFont val="Angsana New"/>
        <family val="1"/>
      </rPr>
      <t xml:space="preserve">วงเงินทั้งสิ้น 400,000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</si>
  <si>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1
</t>
    </r>
    <r>
      <rPr>
        <b/>
        <sz val="13"/>
        <color indexed="10"/>
        <rFont val="Angsana New"/>
        <family val="1"/>
      </rPr>
      <t xml:space="preserve">งบประมาณทั้งสิ้น 1,530,000 บาท </t>
    </r>
  </si>
  <si>
    <r>
      <t xml:space="preserve">สำหรับทุนสนับสนุนการวิจัย เรื่อง แพะ หวะ 
ทักษะอาชีพแห่งอนาคต 
</t>
    </r>
    <r>
      <rPr>
        <b/>
        <sz val="13"/>
        <color indexed="10"/>
        <rFont val="Angsana New"/>
        <family val="1"/>
      </rPr>
      <t xml:space="preserve">งบประมาณทั้งสิ้น 700,000 บาท </t>
    </r>
  </si>
  <si>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เงินประกันผลงาน
</t>
    </r>
    <r>
      <rPr>
        <b/>
        <sz val="13"/>
        <color indexed="10"/>
        <rFont val="Angsana New"/>
        <family val="1"/>
      </rPr>
      <t>วงเงินงบประมาณทั้งสิ้น 650,000 บาท</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</si>
  <si>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2
</t>
    </r>
    <r>
      <rPr>
        <b/>
        <sz val="13"/>
        <color indexed="10"/>
        <rFont val="Angsana New"/>
        <family val="1"/>
      </rPr>
      <t xml:space="preserve">วงเงินทั้งสิ้น 400,000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</si>
  <si>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</si>
  <si>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t>
    </r>
    <r>
      <rPr>
        <b/>
        <sz val="13"/>
        <color indexed="10"/>
        <rFont val="Angsana New"/>
        <family val="1"/>
      </rPr>
      <t xml:space="preserve">งบประมาณทั้งสิ้น 499,444.00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</si>
  <si>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(เงินประกันผลงาน)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</si>
  <si>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</si>
  <si>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</si>
  <si>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</si>
  <si>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เงินประกันผลงานงวดที่ 1
</t>
    </r>
    <r>
      <rPr>
        <b/>
        <sz val="13"/>
        <color indexed="10"/>
        <rFont val="Angsana New"/>
        <family val="1"/>
      </rPr>
      <t xml:space="preserve">งบประมาณทั้งสิ้น 499,444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</si>
  <si>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2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</si>
  <si>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3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</si>
  <si>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เงินประกันผลงานงวดที่ 1-3
</t>
    </r>
    <r>
      <rPr>
        <b/>
        <sz val="13"/>
        <color indexed="10"/>
        <rFont val="Angsana New"/>
        <family val="1"/>
      </rPr>
      <t xml:space="preserve">งบประมาณทั้งสิ้น 500,000.00 บาท </t>
    </r>
  </si>
  <si>
    <r>
      <t xml:space="preserve">ทุนสนับสนุนการวิจัย เรื่อง การเสริมสร้าง
ศักยภาพเยาวชนเพื่อลดความเหลื่อมล้าทาง
เศรษฐกิจ การศึกษา และวัฒนธรรมโดยการมี
ส่วนร่วมของเครือข่ายพลังทางสังคมของท้องถิ่น
ในบริบทพหุวัฒนธรรมชายแดนใต้ 
</t>
    </r>
    <r>
      <rPr>
        <b/>
        <sz val="13"/>
        <color indexed="10"/>
        <rFont val="Angsana New"/>
        <family val="1"/>
      </rPr>
      <t>งบประมาณทั้งสิ้น 600,000 บาท</t>
    </r>
  </si>
  <si>
    <r>
      <t xml:space="preserve">ทุนสนับสนุนการวิจัย เรื่อง การรักษาสืบสาน
การเล่นกลองบานอร่วมสมัยของเยาวชน
มลายูมุสลิมโดยชุมชนเครือข่ายบานอ
จังหวัดนราธิวาสเพื่อลดความเหลื่อมล้า
ด้านวัฒนธรรม 
</t>
    </r>
    <r>
      <rPr>
        <b/>
        <sz val="13"/>
        <color indexed="10"/>
        <rFont val="Angsana New"/>
        <family val="1"/>
      </rPr>
      <t xml:space="preserve">งบประมาณทั้งสิ้น 341,900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</si>
  <si>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1
</t>
    </r>
    <r>
      <rPr>
        <b/>
        <sz val="13"/>
        <color indexed="10"/>
        <rFont val="Angsana New"/>
        <family val="1"/>
      </rPr>
      <t xml:space="preserve">งบประมาณทั้งสิ้น 20,000 บาท </t>
    </r>
  </si>
  <si>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พ.ศ.2564 งวดที่ 2
</t>
    </r>
    <r>
      <rPr>
        <b/>
        <sz val="13"/>
        <color indexed="10"/>
        <rFont val="Angsana New"/>
        <family val="1"/>
      </rPr>
      <t xml:space="preserve">วงเงินตามสัญญา 79,092.00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</si>
  <si>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2
</t>
    </r>
    <r>
      <rPr>
        <b/>
        <sz val="13"/>
        <color indexed="10"/>
        <rFont val="Angsana New"/>
        <family val="1"/>
      </rPr>
      <t xml:space="preserve">งบประมาณทั้งสิ้น 20,000 บาท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</si>
  <si>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1 </t>
    </r>
    <r>
      <rPr>
        <b/>
        <sz val="13"/>
        <color indexed="10"/>
        <rFont val="Angsana New"/>
        <family val="1"/>
      </rPr>
      <t>งบประมาณทั้งสิ้น 183,932.00 บาท</t>
    </r>
    <r>
      <rPr>
        <sz val="13"/>
        <color indexed="8"/>
        <rFont val="Angsana New"/>
        <family val="1"/>
      </rPr>
      <t xml:space="preserve"> </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</si>
  <si>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1
</t>
    </r>
    <r>
      <rPr>
        <b/>
        <sz val="13"/>
        <color indexed="10"/>
        <rFont val="Angsana New"/>
        <family val="1"/>
      </rPr>
      <t>งบประมาณทั้งสิ้น 360,000.00 บาท</t>
    </r>
  </si>
  <si>
    <r>
      <t xml:space="preserve">ตามบันทึกข้อตกลงความร่วมมือ โครงการ
ใช้เทคโนโลยีและนวัตกรรมเพื่อการบริหาร
จัดการฟาร์ม และสร้างความเป็นอัตลักษณ์
ให้กับผลิตภัณฑ์ปศุสัตว์ภาคใต้ชายแดน 
ปีงบประมาณ พ.ศ.2565 งวดที่ 1  
</t>
    </r>
    <r>
      <rPr>
        <b/>
        <sz val="13"/>
        <color indexed="10"/>
        <rFont val="Angsana New"/>
        <family val="1"/>
      </rPr>
      <t>งบประมาณทั้งสิ้น 1,610,000.00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</si>
  <si>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1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</si>
  <si>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1
</t>
    </r>
    <r>
      <rPr>
        <b/>
        <sz val="13"/>
        <color indexed="10"/>
        <rFont val="Angsana New"/>
        <family val="1"/>
      </rPr>
      <t>งบประมาณทั้งสิ้น 735,240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</si>
  <si>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1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</si>
  <si>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1 </t>
    </r>
    <r>
      <rPr>
        <b/>
        <sz val="13"/>
        <color indexed="10"/>
        <rFont val="Angsana New"/>
        <family val="1"/>
      </rPr>
      <t>งบประมาณโครงการทั้งสิ้น 1,248,300 บ.</t>
    </r>
  </si>
  <si>
    <r>
      <t xml:space="preserve">ตามบันทึกข้อตกลงความร่วมมือ โครงการใช้
เทคโนโลยีและนวัตกรรมเพื่อการบริหารจัดการ
ฟาร์ม และสร้างความเป็นอัตลักษณ์ให้กับ
ผลิตภัณฑ์ปศุสัตว์ภาคใต้ชายแดน 
ปีงบประมาณ พ.ศ.2565 งวดที่ 2 
</t>
    </r>
    <r>
      <rPr>
        <b/>
        <sz val="13"/>
        <color indexed="10"/>
        <rFont val="Angsana New"/>
        <family val="1"/>
      </rPr>
      <t xml:space="preserve">งบประมาณทั้งสิ้น 1,610,000.00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</si>
  <si>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1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</si>
  <si>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2 </t>
    </r>
    <r>
      <rPr>
        <b/>
        <sz val="13"/>
        <color indexed="10"/>
        <rFont val="Angsana New"/>
        <family val="1"/>
      </rPr>
      <t xml:space="preserve">งบประมาณทั้งสิ้น 183,932.00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</si>
  <si>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2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</si>
  <si>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2
</t>
    </r>
    <r>
      <rPr>
        <b/>
        <sz val="13"/>
        <color indexed="10"/>
        <rFont val="Angsana New"/>
        <family val="1"/>
      </rPr>
      <t>งบประมาณทั้งสิ้น 735,240 บาท</t>
    </r>
    <r>
      <rPr>
        <sz val="13"/>
        <color indexed="8"/>
        <rFont val="Angsana New"/>
        <family val="1"/>
      </rPr>
      <t xml:space="preserve">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</si>
  <si>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1
</t>
    </r>
    <r>
      <rPr>
        <b/>
        <sz val="13"/>
        <color indexed="10"/>
        <rFont val="Angsana New"/>
        <family val="1"/>
      </rPr>
      <t xml:space="preserve">งบประมาณทั้งสิ้น 1,645,322.00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</si>
  <si>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</si>
  <si>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2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</si>
  <si>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</si>
  <si>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1
</t>
    </r>
    <r>
      <rPr>
        <b/>
        <sz val="13"/>
        <color indexed="10"/>
        <rFont val="Angsana New"/>
        <family val="1"/>
      </rPr>
      <t>วงเงินงบประมาณทั้งสิ้น 2,789,000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</si>
  <si>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2
</t>
    </r>
    <r>
      <rPr>
        <b/>
        <sz val="13"/>
        <color indexed="10"/>
        <rFont val="Angsana New"/>
        <family val="1"/>
      </rPr>
      <t xml:space="preserve">งบประมาณทั้งสิ้น 681,978.00 บาท </t>
    </r>
  </si>
  <si>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4 </t>
    </r>
    <r>
      <rPr>
        <b/>
        <sz val="13"/>
        <color indexed="10"/>
        <rFont val="Angsana New"/>
        <family val="1"/>
      </rPr>
      <t>วงเงินงบประมาณทั้งสิ้น 671,000 บาท</t>
    </r>
    <r>
      <rPr>
        <sz val="13"/>
        <color indexed="10"/>
        <rFont val="Angsana New"/>
        <family val="1"/>
      </rPr>
      <t xml:space="preserve"> </t>
    </r>
  </si>
  <si>
    <r>
      <t xml:space="preserve">เงินสนับสนุนการวิจัยจากประเทศสิงคโปร์ 
เรื่อง Analysis of Astaxanthin Efficiency in 
White Shrimp 
</t>
    </r>
    <r>
      <rPr>
        <b/>
        <sz val="13"/>
        <color indexed="10"/>
        <rFont val="Angsana New"/>
        <family val="1"/>
      </rPr>
      <t>งบประมาณทั้งสิ้น 490,400.00 บาท</t>
    </r>
  </si>
  <si>
    <r>
      <t xml:space="preserve">เงินสนับสนุนการวิจัย โครงการวิจัยเรื่อง 
ผลของกากถั่วเหลืองหมักในการเสริมอาหารกุ้ง
ในระดับต่าง ๆ เพื่อศึกษาผลการเจริญเติบโต 
ประสิทธิภาพการใช้อาหาร อัตราการรอดตาย
และการเปลี่ยนแปลงทางพยาธิสภาพ 
(Histopathology) 
</t>
    </r>
    <r>
      <rPr>
        <b/>
        <sz val="13"/>
        <color indexed="10"/>
        <rFont val="Angsana New"/>
        <family val="1"/>
      </rPr>
      <t>งบประมาณทั้งสิ้น 18,000 บาท</t>
    </r>
    <r>
      <rPr>
        <sz val="13"/>
        <color indexed="10"/>
        <rFont val="Angsana New"/>
        <family val="1"/>
      </rPr>
      <t xml:space="preserve"> </t>
    </r>
  </si>
  <si>
    <r>
      <t xml:space="preserve">สัญญาให้ทุนอุดหนุนโครงการวิจัย พัฒนาและวิศวกรรม เลขที่ FDA-CO-2561-5830-TH  
เรื่อง การพัฒนาตัวเร่งปฏิกิริยาเพื่อเซล
เชื้อเพลิงเอทานอลโดยไม่ใช้เยื่อเลือกผ่าน </t>
    </r>
    <r>
      <rPr>
        <b/>
        <sz val="13"/>
        <color indexed="8"/>
        <rFont val="Angsana New"/>
        <family val="1"/>
      </rPr>
      <t xml:space="preserve">งบประมาณทั้งโครงการ 250,000 บาท </t>
    </r>
  </si>
  <si>
    <r>
      <t xml:space="preserve">โครงการทุนพัฒนาศักยภาพในการทำงาน
วิจัยของอาจารย์รุ่นใหม่ ปีงบประมาณ 2565 : สัญญาเลขที่ RGNS 64-087 งานวิจัยเรื่อง 
การย่อยสลายยาปฏิชีวนะเบตาแลคแตมที่ตกค้างในมูลสุกรและผลิตกระแสไฟฟ้าด้วย
เซลล์เชื้อเพลิงจุลินทรีย์ต้นทุนต่ำรูปแบบใหม่
ที่แบคทีเรียที่ผลิตเอนไซน์แลคเคสเป็นตัวเร่งปฏิกริยา 
</t>
    </r>
    <r>
      <rPr>
        <b/>
        <sz val="13"/>
        <color indexed="10"/>
        <rFont val="Angsana New"/>
        <family val="1"/>
      </rPr>
      <t>งบประมาณทั้งสิ้น 600,000.00 บาท</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</si>
  <si>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3
</t>
    </r>
    <r>
      <rPr>
        <b/>
        <sz val="13"/>
        <color indexed="10"/>
        <rFont val="Angsana New"/>
        <family val="1"/>
      </rPr>
      <t>วงเงินทั้งสิ้น 550,000 บาท</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</si>
  <si>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1
</t>
    </r>
    <r>
      <rPr>
        <b/>
        <sz val="13"/>
        <color indexed="10"/>
        <rFont val="Angsana New"/>
        <family val="1"/>
      </rPr>
      <t xml:space="preserve">วงเงินงบประมาณทั้งสิ้น 50,000 บาท </t>
    </r>
  </si>
  <si>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2
</t>
    </r>
    <r>
      <rPr>
        <b/>
        <sz val="13"/>
        <color indexed="10"/>
        <rFont val="Angsana New"/>
        <family val="1"/>
      </rPr>
      <t xml:space="preserve">งบประมาณทั้งสิ้น 250,000.00 บาท </t>
    </r>
    <r>
      <rPr>
        <sz val="13"/>
        <color indexed="10"/>
        <rFont val="Angsana New"/>
        <family val="1"/>
      </rPr>
      <t xml:space="preserve">
(งบบริหารจัดการจำนวนเงิน 30,000 บ.)</t>
    </r>
  </si>
  <si>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2 </t>
    </r>
    <r>
      <rPr>
        <b/>
        <sz val="13"/>
        <color indexed="10"/>
        <rFont val="Angsana New"/>
        <family val="1"/>
      </rPr>
      <t xml:space="preserve">งบประมาณทั้งสิ้น 2,617,913 บาท </t>
    </r>
  </si>
  <si>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งวดที่ 1 (งบบริหารจัดการ 30,000.00 บาท)
</t>
    </r>
    <r>
      <rPr>
        <b/>
        <sz val="13"/>
        <color indexed="10"/>
        <rFont val="Angsana New"/>
        <family val="1"/>
      </rPr>
      <t>วงเงินตามสัญญา 250,000 บาท</t>
    </r>
    <r>
      <rPr>
        <sz val="13"/>
        <color indexed="10"/>
        <rFont val="Angsana New"/>
        <family val="1"/>
      </rPr>
      <t xml:space="preserve">  </t>
    </r>
  </si>
  <si>
    <r>
      <t xml:space="preserve">เงินสนับสนุนการวิจัยเรื่อง Shrimp 
histological preparation and histological 
study งวดที่ 1
</t>
    </r>
    <r>
      <rPr>
        <b/>
        <sz val="13"/>
        <color indexed="10"/>
        <rFont val="Angsana New"/>
        <family val="1"/>
      </rPr>
      <t xml:space="preserve">งบประมาณทั้งสิ้น 201,250.00 บาท </t>
    </r>
  </si>
  <si>
    <r>
      <t xml:space="preserve">เงินสนับสนุนการวิจัยจากประเทศเยอรมัน 
เรื่อง The effects of phytase, glucanase, mannanase and xylanase and their 
mixture on grouth, carcass composition 
and nutrient digestibility in Nile tilapia 
Shrimp histological preparation and 
histological study
</t>
    </r>
    <r>
      <rPr>
        <b/>
        <sz val="13"/>
        <color indexed="10"/>
        <rFont val="Angsana New"/>
        <family val="1"/>
      </rPr>
      <t xml:space="preserve">งบประมาณทั้งสิ้น 500,000.00 บาท </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</si>
  <si>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และการพัฒนาเป็นปลาสวยงามเพื่อการส่งออก 
เงินประกันผลงานงวดที่ 1 - 3
</t>
    </r>
    <r>
      <rPr>
        <b/>
        <sz val="13"/>
        <color indexed="10"/>
        <rFont val="Angsana New"/>
        <family val="1"/>
      </rPr>
      <t>วงเงินทั้งสิ้น 550,000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</si>
  <si>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1
</t>
    </r>
    <r>
      <rPr>
        <b/>
        <sz val="13"/>
        <color indexed="10"/>
        <rFont val="Angsana New"/>
        <family val="1"/>
      </rPr>
      <t xml:space="preserve">วงเงินทั้งสิ้น 420,000 บาท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</si>
  <si>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1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</si>
  <si>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1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</si>
  <si>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1 
</t>
    </r>
    <r>
      <rPr>
        <b/>
        <sz val="13"/>
        <color indexed="10"/>
        <rFont val="Angsana New"/>
        <family val="1"/>
      </rPr>
      <t>งบประมาณโครงการทั้งสิ้น 850,000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</si>
  <si>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1
</t>
    </r>
    <r>
      <rPr>
        <b/>
        <sz val="13"/>
        <color indexed="10"/>
        <rFont val="Angsana New"/>
        <family val="1"/>
      </rPr>
      <t>งบประมาณทั้งสิ้น 2,237,799 บาท</t>
    </r>
    <r>
      <rPr>
        <sz val="13"/>
        <color indexed="8"/>
        <rFont val="Angsana New"/>
        <family val="1"/>
      </rPr>
      <t xml:space="preserve"> </t>
    </r>
  </si>
  <si>
    <r>
      <t xml:space="preserve">ตามสัญญาเลขที่ TSU65-CIN002 สัญญา
รับทุนอุดหนุนการวิจัยจากงบประมาณ
เงินรายได้ กองทุนวิจัยมหาวิทยาลัยทักษิณ ประจำปีงบประมาณ 2565 โดยในสัญญา
ได้มีผู้ร่วมทุนสนับสนุนทุนวิจัยร่วมเรื่อง 
การพัฒนาผลิตภัณฑ์ต้นแบบสารสกัดเข้มข้น
เสริมอาหารเพาะเลี้ยงปลานิลจากวัสดุเหลือ
ทิ้ง จากการเพาะเลี้ยงเห็ดถั่งเช่าเชิงพาณิชย์ </t>
    </r>
    <r>
      <rPr>
        <b/>
        <sz val="13"/>
        <color indexed="10"/>
        <rFont val="Angsana New"/>
        <family val="1"/>
      </rPr>
      <t>วงเงินร่วมวิจัย 10,000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</si>
  <si>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2 
</t>
    </r>
    <r>
      <rPr>
        <b/>
        <sz val="13"/>
        <color indexed="10"/>
        <rFont val="Angsana New"/>
        <family val="1"/>
      </rPr>
      <t>งบประมาณทั้งสิ้น 700,000 บาท</t>
    </r>
    <r>
      <rPr>
        <sz val="13"/>
        <color indexed="8"/>
        <rFont val="Angsana New"/>
        <family val="1"/>
      </rPr>
      <t xml:space="preserve">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</si>
  <si>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2
</t>
    </r>
    <r>
      <rPr>
        <b/>
        <sz val="13"/>
        <color indexed="10"/>
        <rFont val="Angsana New"/>
        <family val="1"/>
      </rPr>
      <t xml:space="preserve">วงเงินทั้งสิ้น 420,000 บาท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</si>
  <si>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1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</si>
  <si>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1 
</t>
    </r>
    <r>
      <rPr>
        <b/>
        <sz val="13"/>
        <color indexed="10"/>
        <rFont val="Angsana New"/>
        <family val="1"/>
      </rPr>
      <t>งบประมาณโครงการทั้งสิ้น 844,200 บาท</t>
    </r>
  </si>
  <si>
    <r>
      <t xml:space="preserve">ตามสัญญาเลขที่ TSU65ECO001 สัญญารับ
ทุนอุดหนุนการวิจัยจากงบประมาณเงินรายได้ 
กองทุนวิจัยมหาวิทยาลัยทักษิณ ประจำปี
งบประมาณ 2565 โดยในสัญญาได้มีผู้ร่วมทุน
คือ บริษัท ณิชนันทน์การค้า ATK58 สนับสนุน
ทุนวิจัยร่วมเรื่อง การพัฒนาสารจับตัวใน
น้ำยางสำหรับเชิงพาณิชย์ 
</t>
    </r>
    <r>
      <rPr>
        <b/>
        <sz val="13"/>
        <color indexed="10"/>
        <rFont val="Angsana New"/>
        <family val="1"/>
      </rPr>
      <t>งบประมาณวิจัยร่วม 10,000 บาท 
(โดยงบประมาณการร่วมทุนได้รับการ
ยกเว้นค่าธรรมเนียมอุดหนุนสถาบัน)</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</si>
  <si>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1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</si>
  <si>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1
</t>
    </r>
    <r>
      <rPr>
        <b/>
        <sz val="13"/>
        <color indexed="10"/>
        <rFont val="Angsana New"/>
        <family val="1"/>
      </rPr>
      <t>งบประมาณทั้งสิ้น 530,000 บาท</t>
    </r>
    <r>
      <rPr>
        <sz val="13"/>
        <color indexed="8"/>
        <rFont val="Angsana New"/>
        <family val="1"/>
      </rPr>
      <t xml:space="preserve">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</si>
  <si>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2
</t>
    </r>
    <r>
      <rPr>
        <b/>
        <sz val="13"/>
        <color indexed="10"/>
        <rFont val="Angsana New"/>
        <family val="1"/>
      </rPr>
      <t>งบประมาณทั้งสิ้น 530,000 บาท</t>
    </r>
    <r>
      <rPr>
        <sz val="13"/>
        <color indexed="8"/>
        <rFont val="Angsana New"/>
        <family val="1"/>
      </rPr>
      <t xml:space="preserve"> </t>
    </r>
  </si>
  <si>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
ศึกษา (พระบาทสมเด็จพระปรมินทรภูมิพล- 
อดุลยเดช รัชกาลที่ 9) ในจังหวัดสงขลาและ
พัทลุง งวดที่ 2 
</t>
    </r>
    <r>
      <rPr>
        <b/>
        <sz val="13"/>
        <color indexed="10"/>
        <rFont val="Angsana New"/>
        <family val="1"/>
      </rPr>
      <t>วงเงินทั้งสิน 550,000 บาท</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</si>
  <si>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4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</si>
  <si>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เงินประกันผลงาน(งวดที่ 4) 
</t>
    </r>
    <r>
      <rPr>
        <b/>
        <sz val="13"/>
        <color indexed="10"/>
        <rFont val="Angsana New"/>
        <family val="1"/>
      </rPr>
      <t xml:space="preserve">วงเงินทั้งสิ้น 1,500,000 บาท </t>
    </r>
  </si>
  <si>
    <r>
      <t xml:space="preserve">ตามสัญญารับเงินอุดหนุน การดำเนินงานชุด
โครงการวิจัยเพื่อเผยแพร่และแลกเปลี่ยน
เรียนรู้องค์ความรู้เพื่อพัฒนาความลุ่มลึก
ผ่านชุมชนแห่งการเรียนรู้ทางวิชาชีพ งวดที่ 1
(Professiomal Learning Community:PLC) 
</t>
    </r>
    <r>
      <rPr>
        <b/>
        <sz val="13"/>
        <color indexed="10"/>
        <rFont val="Angsana New"/>
        <family val="1"/>
      </rPr>
      <t>งบประมาณทั้งสิ้น 160,000.00 บาท</t>
    </r>
    <r>
      <rPr>
        <sz val="13"/>
        <color indexed="10"/>
        <rFont val="Angsana New"/>
        <family val="1"/>
      </rPr>
      <t xml:space="preserve"> </t>
    </r>
  </si>
  <si>
    <r>
      <t xml:space="preserve">ทุนอุดหนุนดำเนินการวิจัยแผนงานวิจัย เรื่อง 
การบริหารจัดการหลักสูตรฐานสมรรถนะ
อาชีพสู่สถานประกอบการศูนย์การเรียนรู้
เศรษฐกิจพอเพียง โรงเรียนพื้นที่เกาะ จ.สตูล </t>
    </r>
    <r>
      <rPr>
        <b/>
        <sz val="13"/>
        <color indexed="10"/>
        <rFont val="Angsana New"/>
        <family val="1"/>
      </rPr>
      <t xml:space="preserve">งบประมาณทั้งสิ้น 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</si>
  <si>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1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</si>
  <si>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2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</si>
  <si>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3 (เงินประกันผลงาน)
</t>
    </r>
    <r>
      <rPr>
        <b/>
        <sz val="13"/>
        <color indexed="10"/>
        <rFont val="Angsana New"/>
        <family val="1"/>
      </rPr>
      <t xml:space="preserve">วงเงินทั้งสิ้น 1,500,000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</si>
  <si>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</si>
  <si>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2
</t>
    </r>
    <r>
      <rPr>
        <b/>
        <sz val="13"/>
        <color indexed="10"/>
        <rFont val="Angsana New"/>
        <family val="1"/>
      </rPr>
      <t xml:space="preserve">วงเงินงบประมาณทั้งสิ้น 3,000,000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</si>
  <si>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1
</t>
    </r>
    <r>
      <rPr>
        <b/>
        <sz val="13"/>
        <color indexed="10"/>
        <rFont val="Angsana New"/>
        <family val="1"/>
      </rPr>
      <t>งบประมาณทั้งสิ้น 476,000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</si>
  <si>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1 
</t>
    </r>
    <r>
      <rPr>
        <b/>
        <sz val="13"/>
        <color indexed="10"/>
        <rFont val="Angsana New"/>
        <family val="1"/>
      </rPr>
      <t xml:space="preserve">งบประมาณโครงการย่อย 499,000 บาท </t>
    </r>
  </si>
  <si>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2-3 
</t>
    </r>
    <r>
      <rPr>
        <b/>
        <sz val="13"/>
        <color indexed="10"/>
        <rFont val="Angsana New"/>
        <family val="1"/>
      </rPr>
      <t>งบสนับสนุนจำนวน 201,440 บาท</t>
    </r>
    <r>
      <rPr>
        <sz val="13"/>
        <color indexed="8"/>
        <rFont val="Angsana New"/>
        <family val="1"/>
      </rPr>
      <t xml:space="preserve">
</t>
    </r>
    <r>
      <rPr>
        <b/>
        <sz val="13"/>
        <color indexed="12"/>
        <rFont val="Angsana New"/>
        <family val="1"/>
      </rPr>
      <t>หมายเหตุ : มีค่าปรับลดเงินงวดจำนวน 32,028.96 บาท จากการส่งมอบงานไม่ตรง
ตามสัญญา</t>
    </r>
  </si>
  <si>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สำหรับทุนสนับสนุนงานวิจัย รื่อง โครงการวิจัยเชิง
ปฎิบัติการเพื่อพัฒนาครูและโรงเรียนตำรวจ
ตระเวนชายแดนในพื้นที่จังหวัดสงขลา ตรัง 
สตูล และพัทลุง ปี 2564 
(ระยะเวลาดำเนินงานสิงหาคม 2564 ถึง
เดือนกรกฎาคม 2565) 
</t>
    </r>
    <r>
      <rPr>
        <b/>
        <sz val="13"/>
        <color indexed="10"/>
        <rFont val="Angsana New"/>
        <family val="1"/>
      </rPr>
      <t xml:space="preserve">งบประมาณทั้งสิ้น 900,000 บาท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</si>
  <si>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2 
</t>
    </r>
    <r>
      <rPr>
        <b/>
        <sz val="13"/>
        <color indexed="10"/>
        <rFont val="Angsana New"/>
        <family val="1"/>
      </rPr>
      <t xml:space="preserve">งบประมาณโครงการย่อย 499,000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</si>
  <si>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2
</t>
    </r>
    <r>
      <rPr>
        <b/>
        <sz val="13"/>
        <color indexed="10"/>
        <rFont val="Angsana New"/>
        <family val="1"/>
      </rPr>
      <t>งบประมาณทั้งสิ้น 476,000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</si>
  <si>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3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</si>
  <si>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เงินประกันผลงานงวดที่ 3
</t>
    </r>
    <r>
      <rPr>
        <b/>
        <sz val="13"/>
        <color indexed="10"/>
        <rFont val="Angsana New"/>
        <family val="1"/>
      </rPr>
      <t xml:space="preserve">วงเงินงบประมาณทั้งสิ้น 3,000,000 บาท </t>
    </r>
  </si>
  <si>
    <r>
      <t xml:space="preserve">เงินสนับสนุนการวิจัย เรื่อง การศึกษารูปแบบ
การจัดจำหน่ายสัตว์น้ำเศรษฐกิจที่โตไม่ได้
ขนาดในประเทศไทย 
</t>
    </r>
    <r>
      <rPr>
        <b/>
        <sz val="13"/>
        <color indexed="10"/>
        <rFont val="Angsana New"/>
        <family val="1"/>
      </rPr>
      <t>งบประมาณจำนวน 60,000 บาท</t>
    </r>
  </si>
  <si>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indexed="10"/>
        <rFont val="Angsana New"/>
        <family val="1"/>
      </rPr>
      <t>(เงินประกันผลงาน)</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</si>
  <si>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1 
</t>
    </r>
    <r>
      <rPr>
        <b/>
        <sz val="13"/>
        <color indexed="10"/>
        <rFont val="Angsana New"/>
        <family val="1"/>
      </rPr>
      <t>งบประมาณโครงการทั้งสิ้น 650,000 บาท</t>
    </r>
  </si>
  <si>
    <r>
      <t>ทุนอุดหนุนดำเนินการวิจัยเรื่อง การวิเคราะห์
พฤติกรรมผู้บริโภคซอสกะปิเคยนิคะ
ในประเทศไทย (ระยะเวลาในการดำเนินงาน
วิจัย 1 กรกฎาคม 2565 ถึง 30 กันยายน 2565)</t>
    </r>
    <r>
      <rPr>
        <b/>
        <sz val="13"/>
        <color indexed="10"/>
        <rFont val="Angsana New"/>
        <family val="1"/>
      </rPr>
      <t xml:space="preserve">งบประมาณทั้งสิ้น 18,7920 บาท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</si>
  <si>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2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</si>
  <si>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1 
</t>
    </r>
    <r>
      <rPr>
        <b/>
        <sz val="13"/>
        <color indexed="10"/>
        <rFont val="Angsana New"/>
        <family val="1"/>
      </rPr>
      <t>งบประมาณโครงการทั้งสิ้น 500,000 บาท</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</si>
  <si>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t>
    </r>
    <r>
      <rPr>
        <b/>
        <sz val="13"/>
        <color indexed="8"/>
        <rFont val="Angsana New"/>
        <family val="1"/>
      </rPr>
      <t xml:space="preserve">งบประมาณทั้งสิ้น 7,700,000 บาท </t>
    </r>
    <r>
      <rPr>
        <sz val="13"/>
        <color indexed="8"/>
        <rFont val="Angsana New"/>
        <family val="1"/>
      </rPr>
      <t xml:space="preserve">
</t>
    </r>
    <r>
      <rPr>
        <b/>
        <sz val="13"/>
        <color indexed="10"/>
        <rFont val="Angsana New"/>
        <family val="1"/>
      </rPr>
      <t>หมายเหตุ : งวดที่ 1 = 2,364,000 บาท ไม่ได้นำส่งมหาวิทยาลัย</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</si>
  <si>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</si>
  <si>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1
</t>
    </r>
    <r>
      <rPr>
        <b/>
        <sz val="13"/>
        <color indexed="10"/>
        <rFont val="Angsana New"/>
        <family val="1"/>
      </rPr>
      <t>งบประมาณทั้งสิ้น 3,066,837 บาท</t>
    </r>
    <r>
      <rPr>
        <sz val="13"/>
        <color indexed="8"/>
        <rFont val="Angsana New"/>
        <family val="1"/>
      </rPr>
      <t xml:space="preserve"> </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</si>
  <si>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1
</t>
    </r>
    <r>
      <rPr>
        <b/>
        <sz val="13"/>
        <color indexed="10"/>
        <rFont val="Angsana New"/>
        <family val="1"/>
      </rPr>
      <t>งบประมาณทั้งสิ้น 1,221,940 บาท</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</si>
  <si>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2
</t>
    </r>
    <r>
      <rPr>
        <b/>
        <sz val="13"/>
        <color indexed="10"/>
        <rFont val="Angsana New"/>
        <family val="1"/>
      </rPr>
      <t>งบประมาณทั้งสิ้น 1,221,940 บาท</t>
    </r>
  </si>
  <si>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
เลขที่ กภท.10/2563 โครงการสำรวจ 
ทำสำเนาดิจิทัล และปริวัตรเอกสารโบราณตำรับยาและตำราการแพทย์แผนไทย 
กลุ่มจังหวัดภาคใต้ ปีที่ 2 
</t>
    </r>
    <r>
      <rPr>
        <b/>
        <sz val="13"/>
        <color indexed="10"/>
        <rFont val="Angsana New"/>
        <family val="1"/>
      </rPr>
      <t xml:space="preserve">ปีที่ 2 ทุนวิจัยทั้งหมด 922,108.00 บาท </t>
    </r>
    <r>
      <rPr>
        <sz val="13"/>
        <color indexed="8"/>
        <rFont val="Angsana New"/>
        <family val="1"/>
      </rPr>
      <t xml:space="preserve">
</t>
    </r>
    <r>
      <rPr>
        <b/>
        <sz val="13"/>
        <color indexed="10"/>
        <rFont val="Angsana New"/>
        <family val="1"/>
      </rPr>
      <t xml:space="preserve">รวมงบปีที่ 1-2 ทั้งหมด 2,426,600.00 บาท </t>
    </r>
  </si>
  <si>
    <t>01/03/2566</t>
  </si>
  <si>
    <t>PR2-2566:21/43</t>
  </si>
  <si>
    <t>RV00020900066030007</t>
  </si>
  <si>
    <t>03/01/2566</t>
  </si>
  <si>
    <t>PL2-2566:2/40</t>
  </si>
  <si>
    <t>RV00020900066010008</t>
  </si>
  <si>
    <t>ผศ.ดร.ธีรพร ทองขะโชค</t>
  </si>
  <si>
    <t>20/01/2566</t>
  </si>
  <si>
    <t>PR2-2565:14/28 
และ 
PR2-2566:14/29</t>
  </si>
  <si>
    <t>RV00020900066010217</t>
  </si>
  <si>
    <t>26/01/2566</t>
  </si>
  <si>
    <t>PR2-2566:15/17</t>
  </si>
  <si>
    <t>RV00020900066010281</t>
  </si>
  <si>
    <t>07/02/2566</t>
  </si>
  <si>
    <t>PR2-2566:17/21,
PR2-2566:17/22,
PR2-2566:17/25 
และ 
PR2-2566:17/24</t>
  </si>
  <si>
    <t>RV00020900066020078</t>
  </si>
  <si>
    <t>15/02/2566</t>
  </si>
  <si>
    <t>PR2-2566:18/23</t>
  </si>
  <si>
    <t>RV00020900066020211</t>
  </si>
  <si>
    <t>10/03/2566</t>
  </si>
  <si>
    <t>PR2-2566:22/16</t>
  </si>
  <si>
    <t>RV00020900066030051</t>
  </si>
  <si>
    <t>สำนักงานกองทุนสนับสนุนการสร้างเสริมสุขภาพ 
(สสส.)</t>
  </si>
  <si>
    <t>15/03/2566</t>
  </si>
  <si>
    <t>PR2-2566:22/50</t>
  </si>
  <si>
    <t>RV00020900066030124</t>
  </si>
  <si>
    <t>27/12/2565</t>
  </si>
  <si>
    <t>PR2-2566:10/8 22,551 บาท 
และ PR2-2566:10/9 39,447 บาท</t>
  </si>
  <si>
    <t>RV00020900066120339</t>
  </si>
  <si>
    <t>02/03/2566</t>
  </si>
  <si>
    <t>PR2-2566:21/50</t>
  </si>
  <si>
    <t>RV00020900066030028</t>
  </si>
  <si>
    <t>07/12/2565</t>
  </si>
  <si>
    <t>PR2-2566:6/27</t>
  </si>
  <si>
    <t>RV00020900066120057</t>
  </si>
  <si>
    <t>20/12/2565</t>
  </si>
  <si>
    <t>PR2-2566:7/49</t>
  </si>
  <si>
    <t>RV00020900066120226</t>
  </si>
  <si>
    <t>19/01/2566</t>
  </si>
  <si>
    <t>PR2-2566:14/17</t>
  </si>
  <si>
    <t>RV00020900066010195</t>
  </si>
  <si>
    <t>PR2-2566:18/25</t>
  </si>
  <si>
    <t>RV00020900066020210</t>
  </si>
  <si>
    <t>อาจารย์ ดร.ภูมิน นุตรทัต</t>
  </si>
  <si>
    <t xml:space="preserve">บริษัท แอดวานซ์ ไบโอ-
นาโนเทค กรุ๊ป จำกัด </t>
  </si>
  <si>
    <t>21/02/2566</t>
  </si>
  <si>
    <t>PR2-2566:20/19</t>
  </si>
  <si>
    <t>RV00020900066020295</t>
  </si>
  <si>
    <t>PR2-2566:23/1</t>
  </si>
  <si>
    <t>RV00020900066030123</t>
  </si>
  <si>
    <t>24/03/2566</t>
  </si>
  <si>
    <t>PR2-2566:23/41</t>
  </si>
  <si>
    <t>RV00020900066030242</t>
  </si>
  <si>
    <t>PR2-2566:22/27</t>
  </si>
  <si>
    <t>RV00020900066030058</t>
  </si>
  <si>
    <t>PR2-2566:23/2</t>
  </si>
  <si>
    <t>RV00020900066030125</t>
  </si>
  <si>
    <t>30/11/2565</t>
  </si>
  <si>
    <t>PR2-2566:5/25</t>
  </si>
  <si>
    <t>RV00020900066110463</t>
  </si>
  <si>
    <t>PR2-2566:5/26</t>
  </si>
  <si>
    <t>07/11/2565</t>
  </si>
  <si>
    <t>PL2-2566:1/27</t>
  </si>
  <si>
    <t>RV00020900066110112</t>
  </si>
  <si>
    <t>23/11/2565</t>
  </si>
  <si>
    <t>PL2-2566:1/49</t>
  </si>
  <si>
    <t>RV00020900066110387</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</si>
  <si>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2565 </t>
  </si>
  <si>
    <t>PL2-2566:1/50</t>
  </si>
  <si>
    <t>RV00020900066110388</t>
  </si>
  <si>
    <t>PL2-2566:2/1</t>
  </si>
  <si>
    <t>RV00020900066110389</t>
  </si>
  <si>
    <t>24/11/2565</t>
  </si>
  <si>
    <t>PL2-2566:2/5</t>
  </si>
  <si>
    <t>RV00020900066110393</t>
  </si>
  <si>
    <t>องค์กรปกครองส่วนท้องถิ่น
จำนวน 30 หน่วยงาน</t>
  </si>
  <si>
    <t>15/12/2565</t>
  </si>
  <si>
    <t>PL2-2566:2/24</t>
  </si>
  <si>
    <t>RV00020900066120170</t>
  </si>
  <si>
    <t>26/12/2565</t>
  </si>
  <si>
    <t>PL2-2566:2/36</t>
  </si>
  <si>
    <t>RV00020900066120303</t>
  </si>
  <si>
    <t>PL2-2566:3/29</t>
  </si>
  <si>
    <t>RV00020900066020188</t>
  </si>
  <si>
    <t>23/12/2565</t>
  </si>
  <si>
    <t>PR2-2566:5/23</t>
  </si>
  <si>
    <t>RV00020900066120291</t>
  </si>
  <si>
    <t>27/02/2566</t>
  </si>
  <si>
    <t>PR2-2566:21/36</t>
  </si>
  <si>
    <t>RV00020900066020371
JV00020900066020031</t>
  </si>
  <si>
    <t>รศ.ดร.สรรพสิทธิ์ กล่อมเกล้า</t>
  </si>
  <si>
    <t>PR2-2566:21/31</t>
  </si>
  <si>
    <t>RV00020900066020357</t>
  </si>
  <si>
    <t>09/11/2565</t>
  </si>
  <si>
    <t>PR2-2566:3/25</t>
  </si>
  <si>
    <t>RV00020900066110156</t>
  </si>
  <si>
    <t>29/12/2565</t>
  </si>
  <si>
    <t>PR2-2565:10/18</t>
  </si>
  <si>
    <t>นางสาววันเพ็ญ บัวคง</t>
  </si>
  <si>
    <t>PR2-2566:9/24</t>
  </si>
  <si>
    <t>RV00020900066120292</t>
  </si>
  <si>
    <t>PR2-2566:14/18</t>
  </si>
  <si>
    <t>RV00020900066010196</t>
  </si>
  <si>
    <t>08/02/2566</t>
  </si>
  <si>
    <t>PR2-2566:17/30</t>
  </si>
  <si>
    <t>RV00020900066020088</t>
  </si>
  <si>
    <t>รายงานรายได้เพื่อการวิจัยจากแหล่งทุนภายนอก</t>
  </si>
  <si>
    <t>คณะพยาบาลศาสตร์</t>
  </si>
  <si>
    <t>05/04/2566</t>
  </si>
  <si>
    <t>PR2-2566:24/49</t>
  </si>
  <si>
    <t>RV00020900066040019</t>
  </si>
  <si>
    <t>PR2-2566:25/4</t>
  </si>
  <si>
    <t>RV00020900066040017</t>
  </si>
  <si>
    <t>PR2-2566:25/5</t>
  </si>
  <si>
    <t>PR2-2566:24/48</t>
  </si>
  <si>
    <t>RV00020900066040020</t>
  </si>
  <si>
    <t>อ.ดร.คณิดา สินใหม</t>
  </si>
  <si>
    <t>PR2-2566:24/47</t>
  </si>
  <si>
    <t>RV00020900066040021</t>
  </si>
  <si>
    <t>รศ.ดร.รุ่งชัชดาพร เวหะชาติ</t>
  </si>
  <si>
    <t>11/04/2566</t>
  </si>
  <si>
    <t>PR2-2566:27/2</t>
  </si>
  <si>
    <t>RV00020900066040108</t>
  </si>
  <si>
    <t>ผศ.ดร.นิรมล จันทรชาติ</t>
  </si>
  <si>
    <t>PL2-2566:4/15</t>
  </si>
  <si>
    <t>RV00020900066040023</t>
  </si>
  <si>
    <t>PR2-2566:24/50</t>
  </si>
  <si>
    <t>RV00020900066040018</t>
  </si>
  <si>
    <t>ผศ.อนงค์ ภิบาล</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</si>
  <si>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 และ 2565</t>
  </si>
  <si>
    <t>สถาบันทักษิณคดีศึกษา</t>
  </si>
  <si>
    <t>สำนักส่งเสริมบริการวิชาการและภูมิปัญญา
ชุมชน</t>
  </si>
  <si>
    <t>23/06/2566</t>
  </si>
  <si>
    <t>PR2-2566:35/25</t>
  </si>
  <si>
    <t>RV00020900066060297</t>
  </si>
  <si>
    <t>สำนักงานสภานโยบาย
การอุดมศึกษา 
วิทยาศาสตร์วิจัยและ
นวัตกรรมแห่งชาติ (สอวช.)</t>
  </si>
  <si>
    <t>ผศ.ดร.นันทิยา พนมจันทร์</t>
  </si>
  <si>
    <t>01/05/2566</t>
  </si>
  <si>
    <t>PR2-2566:29/18</t>
  </si>
  <si>
    <t>RV00020900066050009
JV00020900066050003</t>
  </si>
  <si>
    <t>03/05/2566</t>
  </si>
  <si>
    <t>PR2-2566:29/38</t>
  </si>
  <si>
    <t>RV00020900066050034</t>
  </si>
  <si>
    <t>12/06/2566</t>
  </si>
  <si>
    <t>PR2-2566:33/32</t>
  </si>
  <si>
    <t>RV00020900066060113</t>
  </si>
  <si>
    <t>อ.ดร.วราภรณ์ ทนงศักดิ์</t>
  </si>
  <si>
    <t>30/06/2566</t>
  </si>
  <si>
    <t>PR2-2566:36/19</t>
  </si>
  <si>
    <t>RV00020900066060397</t>
  </si>
  <si>
    <t>23/05/2566</t>
  </si>
  <si>
    <t>PR2-2566:31/28</t>
  </si>
  <si>
    <t>RV00020900066050245</t>
  </si>
  <si>
    <t>PR2-2566:29/33</t>
  </si>
  <si>
    <t>RV00020900066050030</t>
  </si>
  <si>
    <t>นายวีระศักดิ์ ไชยชาญ 
นิสิตระดับบัณฑิตศึกษา 
โดยมี รศ.ดร.จอมภพ แววศักดิ์ 
เป็นที่ปรึกษาการวิจัย</t>
  </si>
  <si>
    <t>PR2-2566:29/37</t>
  </si>
  <si>
    <t>RV00020900066050033</t>
  </si>
  <si>
    <t>ผศ.ดร.จิราพร ช่อมณี</t>
  </si>
  <si>
    <t>11/05/2566</t>
  </si>
  <si>
    <t>PR2-2566:30/1</t>
  </si>
  <si>
    <t>RV00020900066050098</t>
  </si>
  <si>
    <t>อาจารย์ ดร.จักรี บุญละคร</t>
  </si>
  <si>
    <t>ยกเว้น</t>
  </si>
  <si>
    <t>อาจารย์ ดร.นิลุบล จันทร์คง</t>
  </si>
  <si>
    <t>09/06/2566</t>
  </si>
  <si>
    <t>PR2-2566:33/31</t>
  </si>
  <si>
    <t>RV00020900066060106</t>
  </si>
  <si>
    <t>14/06/2566</t>
  </si>
  <si>
    <t>PR2-2566:33/50</t>
  </si>
  <si>
    <t>RV00020900066060169</t>
  </si>
  <si>
    <t>อ.ดร.ณภัทร แก้วภิบาล</t>
  </si>
  <si>
    <t>29/05/2566</t>
  </si>
  <si>
    <t>PR2-2566:32/14</t>
  </si>
  <si>
    <t>RV00020900066050303</t>
  </si>
  <si>
    <t>อาจารย์ ดร.สิงหา ตุลยกุล</t>
  </si>
  <si>
    <t>เครือข่ายอุดมศึกษาภาคใต้
ตอนล่างมหาวิทยาลัย
สงขลานครินทร์</t>
  </si>
  <si>
    <t>PR2-2566:33/30</t>
  </si>
  <si>
    <t>RV00020900066060105</t>
  </si>
  <si>
    <t>ผศ.ดร.พัศรเบศวณ์ เวชวิริยะสกุล</t>
  </si>
  <si>
    <t>PR2-2566:29/34</t>
  </si>
  <si>
    <t>RV00020900066050031</t>
  </si>
  <si>
    <t>อาจารย์อรศิริ ลีลายุทธชัย</t>
  </si>
  <si>
    <t>25/05/2566</t>
  </si>
  <si>
    <t>PL2-2566:4/35</t>
  </si>
  <si>
    <t>RV00020900066050261</t>
  </si>
  <si>
    <t>อ.ดร.โกมลมณี เกตตุพันธ์</t>
  </si>
  <si>
    <t>PR2-2566:29/17</t>
  </si>
  <si>
    <t>RV00020900066050006</t>
  </si>
  <si>
    <t>คณะอุตสาหกรรมเกษตรและชีวภาพ เปลี่ยนเป็นดำเนินการภายใต้สถาบันวิจัยและพัฒนา</t>
  </si>
  <si>
    <t>คณะอุตสาหกรรมการเกษตรและชีวภาพ</t>
  </si>
  <si>
    <t>ผศ.ดร.วิวัฒน์ ฤทธิมา</t>
  </si>
  <si>
    <t xml:space="preserve">สำนักงานสภานโยบาย
การอุดมศึกษา วิทยาศาสตร์
วิจัยและนวัตกรรมแห่งชาติ 
(สอวช.) </t>
  </si>
  <si>
    <t>ดำเนินการภายใต้สถาบันวิจัยและพัฒนา 
ทำหน้าที่หัวหน้าชุดงานวิจัย</t>
  </si>
  <si>
    <t>12/05/2566</t>
  </si>
  <si>
    <t>PR2-2566:30/11</t>
  </si>
  <si>
    <t>RV00020900066050110</t>
  </si>
  <si>
    <t>กำกับดูแลสถาบัน
ทักษิณคดีศึกษา</t>
  </si>
  <si>
    <t>PR2-2566:35/24</t>
  </si>
  <si>
    <t>RV00020900066060296</t>
  </si>
  <si>
    <t>นายธีระ จันทิปะ</t>
  </si>
  <si>
    <t>สำนักงานส่งเสริมเศรษฐกิจสร้างสรรค์ (องค์การมหาชน)</t>
  </si>
  <si>
    <t>PR2-2566:33/49</t>
  </si>
  <si>
    <t>RV00020900066060168</t>
  </si>
  <si>
    <t>นางสาววิจิตรา อมรวิริยะชัย</t>
  </si>
  <si>
    <t>อ.ดร.นิชาภรณ์ พันธ์คง</t>
  </si>
  <si>
    <t>25/07/2566</t>
  </si>
  <si>
    <t>PR2-2566:39/8</t>
  </si>
  <si>
    <t>RV00020900066070294</t>
  </si>
  <si>
    <t>04/07/2566</t>
  </si>
  <si>
    <t>PR2-2566:36/40</t>
  </si>
  <si>
    <t>RV00020900066070022
JV00020900066070006</t>
  </si>
  <si>
    <t>รศ.ดร.ศรชัย อินทะไชย</t>
  </si>
  <si>
    <t>PR2-2566:36/41</t>
  </si>
  <si>
    <t>RV00020900066070023
JV00020900066070007</t>
  </si>
  <si>
    <t>PR2-2566:39/9</t>
  </si>
  <si>
    <t>RV00020900066070293</t>
  </si>
  <si>
    <t>26/07/2566</t>
  </si>
  <si>
    <t>PR2-2566:39/19</t>
  </si>
  <si>
    <t>RV00020900066070319</t>
  </si>
  <si>
    <t>ค่าธรรมเนียมอุดหนุนสถาบัน
ตามประกาศคณะกรรมการบริหารกองทุนฯ
(10%หรือ16%จากยอดรับทั้งหมด)</t>
  </si>
  <si>
    <t>09/08/2566</t>
  </si>
  <si>
    <t>PR2-2566:40/18</t>
  </si>
  <si>
    <t>RV00020900066080051
JV00020900066080007</t>
  </si>
  <si>
    <t>31/08/2566</t>
  </si>
  <si>
    <t>PR2-2566:43/30</t>
  </si>
  <si>
    <t>RV00020900066080378</t>
  </si>
  <si>
    <t>15/08/2566</t>
  </si>
  <si>
    <t>PR2-2566:41/10</t>
  </si>
  <si>
    <t>RV00020900066080135</t>
  </si>
  <si>
    <t>บริษัท อิมมูนิเตอร์ 
มาร์เก็ตติ้ง จำกัด</t>
  </si>
  <si>
    <t>PL2-2566:5/34</t>
  </si>
  <si>
    <t>RV00020900066080377</t>
  </si>
  <si>
    <t>30/08/2566</t>
  </si>
  <si>
    <t>PR2-2566:43/28</t>
  </si>
  <si>
    <t>RV00020900066080367</t>
  </si>
  <si>
    <t>29/08/2566</t>
  </si>
  <si>
    <t>PR2-2566:43/25</t>
  </si>
  <si>
    <t>RV00020900066080339</t>
  </si>
  <si>
    <t>16/08/2566</t>
  </si>
  <si>
    <t>PR2-2566:41/20</t>
  </si>
  <si>
    <t>RV00020900066080146</t>
  </si>
  <si>
    <t xml:space="preserve">สำนักงานสภานโบยาย
การอุดมศึกษา วิทยาศาตร์ วิจัยและนวัตกรรมแห่งชาติ </t>
  </si>
  <si>
    <t>ประจำปีงบประมาณ พ.ศ. 2566   ตั้งแต่วันที่  1  ตุลาคม  2565  ถึงวันที่  30  กันยายน  2566</t>
  </si>
  <si>
    <t>สถาบันวิจัย
และพัฒนา</t>
  </si>
  <si>
    <t>สถาบันปฏิบัติการชุมชนและการเรียนรู้ตลอดชีวิต</t>
  </si>
  <si>
    <t>ประจำปีงบประมาณ พ.ศ. 2566   ตั้งแต่วันที่  1  ตุลาคม 2565  ถึงวันที่  30  กันยายน  2566</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</si>
  <si>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2
</t>
    </r>
    <r>
      <rPr>
        <b/>
        <sz val="13"/>
        <color indexed="10"/>
        <rFont val="Angsana New"/>
        <family val="1"/>
      </rPr>
      <t xml:space="preserve">งบประมาณทั้งสิ้น 1,530,000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</si>
  <si>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</si>
  <si>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1 
</t>
    </r>
    <r>
      <rPr>
        <b/>
        <sz val="13"/>
        <color indexed="10"/>
        <rFont val="Angsana New"/>
        <family val="1"/>
      </rPr>
      <t>วงเงินงบประมาณย่อย 1,100,000 บาท</t>
    </r>
  </si>
  <si>
    <r>
      <t xml:space="preserve">ตามสัญญาเลขที่ N71B650123 สำหรับทุนสนับสนุนการวิจัย เรื่อง ธนาคารแพะหวะชายแดนใต้ จังหวัดนราธิวาส ( ระยะเวลา 
1 กุมภาพันธ์ 2565 - 31 มกราคม 2566) </t>
    </r>
    <r>
      <rPr>
        <b/>
        <sz val="13"/>
        <color indexed="10"/>
        <rFont val="Angsana New"/>
        <family val="1"/>
      </rPr>
      <t xml:space="preserve">งบประมาณทั้งสิ้น 500,000 บาท </t>
    </r>
  </si>
  <si>
    <t>29/09/2566</t>
  </si>
  <si>
    <t>PR2-2566:50/36</t>
  </si>
  <si>
    <t>RV00020900066090621</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</si>
  <si>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3
</t>
    </r>
    <r>
      <rPr>
        <b/>
        <sz val="13"/>
        <color indexed="10"/>
        <rFont val="Angsana New"/>
        <family val="1"/>
      </rPr>
      <t xml:space="preserve">วงเงินทั้งสิ้น 400,000 บาท </t>
    </r>
  </si>
  <si>
    <t>PR2-2566:50/35</t>
  </si>
  <si>
    <t>RV00020900066090619</t>
  </si>
  <si>
    <t xml:space="preserve">ศ.ดร.กรกฎ ทองขะโชค </t>
  </si>
  <si>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1 
</t>
    </r>
    <r>
      <rPr>
        <b/>
        <sz val="13"/>
        <color indexed="10"/>
        <rFont val="Angsana New"/>
        <family val="1"/>
      </rPr>
      <t xml:space="preserve">งบประมาณทั้งสิ้น 1,290,000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</si>
  <si>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1
</t>
    </r>
    <r>
      <rPr>
        <b/>
        <sz val="13"/>
        <color indexed="10"/>
        <rFont val="Angsana New"/>
        <family val="1"/>
      </rPr>
      <t xml:space="preserve">งบประมาณทั้งสิ้น 600,000 บาท </t>
    </r>
  </si>
  <si>
    <r>
      <t xml:space="preserve">ตามใบสั่งจ้างเลขที่ 00394/65 ว่าจ้างสำรวจ
ความพึงพอใจของผู้รับบริการที่มีต่อการ
ให้บริการสาธารณะของเทศบาลตำบล
สะบ้าย้อย ประจำปีงบประมาณ 2565 
(ระยะเวลา 27 ก.ย. 65 - 26 พ.ย. 65) </t>
    </r>
    <r>
      <rPr>
        <b/>
        <sz val="13"/>
        <color indexed="10"/>
        <rFont val="Angsana New"/>
        <family val="1"/>
      </rPr>
      <t>งบประมาณทั้งสิ้น 30,000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</si>
  <si>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2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</si>
  <si>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2 </t>
    </r>
    <r>
      <rPr>
        <b/>
        <sz val="13"/>
        <color indexed="10"/>
        <rFont val="Angsana New"/>
        <family val="1"/>
      </rPr>
      <t>งบประมาณโครงการทั้งสิ้น 1,248,300 บ.</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</si>
  <si>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1 
</t>
    </r>
    <r>
      <rPr>
        <b/>
        <sz val="13"/>
        <color indexed="10"/>
        <rFont val="Angsana New"/>
        <family val="1"/>
      </rPr>
      <t xml:space="preserve">งบประมาณทั้งสิ้น 1,600,000.00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</si>
  <si>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2-3 และเงินประกัน
ผลงานงวดที่ 2-3
</t>
    </r>
    <r>
      <rPr>
        <b/>
        <sz val="13"/>
        <color indexed="10"/>
        <rFont val="Angsana New"/>
        <family val="1"/>
      </rPr>
      <t xml:space="preserve">งบประมาณทั้งสิ้น 1,645,322.00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</si>
  <si>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เงินประกันผลงานงวดที่ 1
</t>
    </r>
    <r>
      <rPr>
        <b/>
        <sz val="13"/>
        <color indexed="10"/>
        <rFont val="Angsana New"/>
        <family val="1"/>
      </rPr>
      <t xml:space="preserve">งบประมาณทั้งสิ้น 1,645,322.00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</si>
  <si>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2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</si>
  <si>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เงินประกันผลงาน
</t>
    </r>
    <r>
      <rPr>
        <b/>
        <sz val="13"/>
        <color indexed="10"/>
        <rFont val="Angsana New"/>
        <family val="1"/>
      </rPr>
      <t xml:space="preserve">งบประมาณทั้งสิ้น 183,932.00 บาท </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</si>
  <si>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3
</t>
    </r>
    <r>
      <rPr>
        <b/>
        <sz val="13"/>
        <color indexed="10"/>
        <rFont val="Angsana New"/>
        <family val="1"/>
      </rPr>
      <t>งบประมาณทั้งสิ้น 735,240 บาท</t>
    </r>
    <r>
      <rPr>
        <sz val="13"/>
        <color indexed="8"/>
        <rFont val="Angsana New"/>
        <family val="1"/>
      </rPr>
      <t xml:space="preserve">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</si>
  <si>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1 
</t>
    </r>
    <r>
      <rPr>
        <b/>
        <sz val="13"/>
        <color indexed="10"/>
        <rFont val="Angsana New"/>
        <family val="1"/>
      </rPr>
      <t xml:space="preserve">งบประมาณทั้งสิ้น 450,000 บาท </t>
    </r>
  </si>
  <si>
    <r>
      <t xml:space="preserve">ตามสัญญาเลขที่ N71B650048  สำหรับ
ทุนสนับสนุสนการวิจัย เรื่อง การถ่ายทอดเทคโนโลยีการรับมือภัยพิบัติทางธรรมชาติด้วยระบบฐานข้อมูล ภายใต้ระยะเวลาดำเนินงาน 
27 มกราคม 2565 ถึง 26 มกราคม 2566 </t>
    </r>
    <r>
      <rPr>
        <b/>
        <sz val="13"/>
        <color indexed="10"/>
        <rFont val="Angsana New"/>
        <family val="1"/>
      </rPr>
      <t>งบประมาณทั้งสิ้น 500,000 บาท</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</si>
  <si>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1
</t>
    </r>
    <r>
      <rPr>
        <b/>
        <sz val="13"/>
        <color indexed="10"/>
        <rFont val="Angsana New"/>
        <family val="1"/>
      </rPr>
      <t xml:space="preserve">งบประมาณทั้งสิ้น 800,000 บาท </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</si>
  <si>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2
</t>
    </r>
    <r>
      <rPr>
        <b/>
        <sz val="13"/>
        <color indexed="10"/>
        <rFont val="Angsana New"/>
        <family val="1"/>
      </rPr>
      <t xml:space="preserve">งบประมาณทั้งสิ้น 1,600,000.00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</si>
  <si>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</si>
  <si>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1 
</t>
    </r>
    <r>
      <rPr>
        <b/>
        <sz val="13"/>
        <color indexed="10"/>
        <rFont val="Angsana New"/>
        <family val="1"/>
      </rPr>
      <t>วงเงินงบประมาณย่อย 1,100,000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</si>
  <si>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3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</si>
  <si>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3 </t>
    </r>
    <r>
      <rPr>
        <b/>
        <sz val="13"/>
        <color indexed="10"/>
        <rFont val="Angsana New"/>
        <family val="1"/>
      </rPr>
      <t>งบประมาณโครงการทั้งสิ้น 1,248,300 บ.</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</si>
  <si>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2
</t>
    </r>
    <r>
      <rPr>
        <b/>
        <sz val="13"/>
        <color indexed="10"/>
        <rFont val="Angsana New"/>
        <family val="1"/>
      </rPr>
      <t>งบประมาณทั้งสิ้น 360,000.00 บาท</t>
    </r>
  </si>
  <si>
    <t>PR2-2566:51/2</t>
  </si>
  <si>
    <t>RV00020900066090641</t>
  </si>
  <si>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2 
</t>
    </r>
    <r>
      <rPr>
        <b/>
        <sz val="13"/>
        <color indexed="10"/>
        <rFont val="Angsana New"/>
        <family val="1"/>
      </rPr>
      <t xml:space="preserve">งบประมาณทั้งสิ้น 450,000 บาท </t>
    </r>
  </si>
  <si>
    <t>เล่มที่ 1140 เลขที่ 48</t>
  </si>
  <si>
    <t>RV00020900066090749</t>
  </si>
  <si>
    <t>เทศบาลตำบลยุโป</t>
  </si>
  <si>
    <r>
      <t xml:space="preserve">ตามใบสั่งจ้างเลขที่ 74/2566 ว่าจ้างสำรวจความพึงพอใจในการบริการสาธารณะของเทศบาลตำบลยุโป ประจำปีงบประมาณ 
พ.ศ. 2566
</t>
    </r>
    <r>
      <rPr>
        <b/>
        <sz val="13"/>
        <color indexed="10"/>
        <rFont val="Angsana New"/>
        <family val="1"/>
      </rPr>
      <t>งบประมาณทั้งสิ้น 19,000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</si>
  <si>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3
</t>
    </r>
    <r>
      <rPr>
        <b/>
        <sz val="13"/>
        <color indexed="10"/>
        <rFont val="Angsana New"/>
        <family val="1"/>
      </rPr>
      <t xml:space="preserve">งบประมาณทั้งสิ้น 681,978.00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</si>
  <si>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1-2 
</t>
    </r>
    <r>
      <rPr>
        <b/>
        <sz val="13"/>
        <color indexed="10"/>
        <rFont val="Angsana New"/>
        <family val="1"/>
      </rPr>
      <t xml:space="preserve">งบประมาณทั้งสิ้น 90,000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</si>
  <si>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3 
</t>
    </r>
    <r>
      <rPr>
        <b/>
        <sz val="13"/>
        <color indexed="10"/>
        <rFont val="Angsana New"/>
        <family val="1"/>
      </rPr>
      <t xml:space="preserve">งบประมาณทั้งสิ้น 90,000 บาท </t>
    </r>
  </si>
  <si>
    <t>27/09/2566</t>
  </si>
  <si>
    <t>PR2-2566:49/47</t>
  </si>
  <si>
    <t>RV00020900066090553</t>
  </si>
  <si>
    <t>สำนักงานกองทุนสนับสนุนการสร้างเสริมสุขภาพ</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</si>
  <si>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1 
</t>
    </r>
    <r>
      <rPr>
        <b/>
        <sz val="13"/>
        <color indexed="10"/>
        <rFont val="Angsana New"/>
        <family val="1"/>
      </rPr>
      <t>วงเงินงบประมาณทั้งสิ้น 9,888,000 บาท</t>
    </r>
  </si>
  <si>
    <r>
      <t xml:space="preserve">เงินสนับสนุนการวิจัย เรื่อง Shrimp histological preparation and histological study งวดที่ 2-3 </t>
    </r>
    <r>
      <rPr>
        <b/>
        <sz val="13"/>
        <color indexed="10"/>
        <rFont val="Angsana New"/>
        <family val="1"/>
      </rPr>
      <t xml:space="preserve">งบประมาณทั้งสิ้น 201,250.00 บาท </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</si>
  <si>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2
</t>
    </r>
    <r>
      <rPr>
        <b/>
        <sz val="13"/>
        <color indexed="10"/>
        <rFont val="Angsana New"/>
        <family val="1"/>
      </rPr>
      <t xml:space="preserve">วงเงินงบประมาณทั้งสิ้น 50,000 บาท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</si>
  <si>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2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</si>
  <si>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2
</t>
    </r>
    <r>
      <rPr>
        <b/>
        <sz val="13"/>
        <color indexed="10"/>
        <rFont val="Angsana New"/>
        <family val="1"/>
      </rPr>
      <t>งบประมาณโครงการทั้งสิ้น 850,000 บาท</t>
    </r>
  </si>
  <si>
    <r>
      <t xml:space="preserve">ตามสัญญาเลขที่ 66A105000025 
สัญญารับทุนอุดหนุนการวิจัยประเภท
งานมูลฐาน (Fundamental Fund) กองทุนส่งเสริมวิทยาศาสตร์ วิจัยและนวัตกรรม มหาวิทยาลัยทักษิณ ประจำปีงบประมาณ
พ.ศ. 2566 โดยในสัญญาได้มีผู้ร่วมทุนเพื่อ  
สนับสนุนทุนวิจัยร่วมเรื่อง เห็ดป่าในป่าสาคู
จังหวัดพัทลุง สู่การนำไปใช้ประโยชน์เพื่อ
พัฒนาต่อยอดทางอุตสาหกรรมเกษตร 
</t>
    </r>
    <r>
      <rPr>
        <b/>
        <sz val="13"/>
        <color indexed="10"/>
        <rFont val="Angsana New"/>
        <family val="1"/>
      </rPr>
      <t>วงเงินร่วมวิจัย 40,000 บาท 
(โดยงบประมาณการร่วมทุนได้รับยกเว้น
การเก็บค่าธรรมเนียมอุดหนุนสถาบัน)</t>
    </r>
  </si>
  <si>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</si>
  <si>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2
</t>
    </r>
    <r>
      <rPr>
        <b/>
        <sz val="13"/>
        <color indexed="10"/>
        <rFont val="Angsana New"/>
        <family val="1"/>
      </rPr>
      <t>งบประมาณทั้งสิ้น 2,237,799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</si>
  <si>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3 
</t>
    </r>
    <r>
      <rPr>
        <b/>
        <sz val="13"/>
        <color indexed="10"/>
        <rFont val="Angsana New"/>
        <family val="1"/>
      </rPr>
      <t>งบประมาณทั้งสิ้น 700,000 บาท</t>
    </r>
    <r>
      <rPr>
        <sz val="13"/>
        <color indexed="8"/>
        <rFont val="Angsana New"/>
        <family val="1"/>
      </rPr>
      <t xml:space="preserve">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</si>
  <si>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1 
</t>
    </r>
    <r>
      <rPr>
        <b/>
        <sz val="13"/>
        <color indexed="10"/>
        <rFont val="Angsana New"/>
        <family val="1"/>
      </rPr>
      <t xml:space="preserve">งบประมาณทั้งสิ้น 50,000 บาท </t>
    </r>
  </si>
  <si>
    <r>
      <t xml:space="preserve">ตามบันทึกข้อตกลงความร่วมมือโครงการ
ส่งเสริมความร่วมมือการใช้ศักยภาพ
โครงสร้างพื้นฐานทางนิวเคลียร์และ
เครื่องมือวิจัย ภายใต้โครงการการพัฒนา
สายพันธุ์ของสาหร่ายเตาด้วยการใช้เทคนิค
การฉายรังสีแกมมาและนิวตรอน งวดที่ 1
</t>
    </r>
    <r>
      <rPr>
        <b/>
        <sz val="13"/>
        <color indexed="10"/>
        <rFont val="Angsana New"/>
        <family val="1"/>
      </rPr>
      <t>งบประมาณทั้งสิ้น 50,000 บาท</t>
    </r>
    <r>
      <rPr>
        <sz val="13"/>
        <color indexed="8"/>
        <rFont val="Angsana New"/>
        <family val="1"/>
      </rPr>
      <t xml:space="preserve"> </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</si>
  <si>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1
</t>
    </r>
    <r>
      <rPr>
        <b/>
        <sz val="13"/>
        <color indexed="1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</si>
  <si>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1
</t>
    </r>
    <r>
      <rPr>
        <b/>
        <sz val="13"/>
        <color indexed="10"/>
        <rFont val="Angsana New"/>
        <family val="1"/>
      </rPr>
      <t xml:space="preserve">งบประมาณทั้งสิ้น 580,000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</si>
  <si>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1 
</t>
    </r>
    <r>
      <rPr>
        <b/>
        <sz val="13"/>
        <color indexed="10"/>
        <rFont val="Angsana New"/>
        <family val="1"/>
      </rPr>
      <t xml:space="preserve">งบประมาณทั้งสิ้น 250,000 บาท </t>
    </r>
  </si>
  <si>
    <t>หักงวดสุดท้าย</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</si>
  <si>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1 
</t>
    </r>
    <r>
      <rPr>
        <b/>
        <sz val="13"/>
        <color indexed="10"/>
        <rFont val="Angsana New"/>
        <family val="1"/>
      </rPr>
      <t xml:space="preserve">งบประมาณทั้งสิ้น 450,000 บาท </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</si>
  <si>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1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</si>
  <si>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1</t>
    </r>
    <r>
      <rPr>
        <b/>
        <sz val="13"/>
        <color indexed="1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</si>
  <si>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1
</t>
    </r>
    <r>
      <rPr>
        <b/>
        <sz val="13"/>
        <color indexed="10"/>
        <rFont val="Angsana New"/>
        <family val="1"/>
      </rPr>
      <t>วงเงินงบประมาณย่อย 682,000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</si>
  <si>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3
</t>
    </r>
    <r>
      <rPr>
        <b/>
        <sz val="13"/>
        <color indexed="10"/>
        <rFont val="Angsana New"/>
        <family val="1"/>
      </rPr>
      <t xml:space="preserve">วงเงินทั้งสิ้น 420,000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</si>
  <si>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</si>
  <si>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1
</t>
    </r>
    <r>
      <rPr>
        <b/>
        <sz val="13"/>
        <color indexed="10"/>
        <rFont val="Angsana New"/>
        <family val="1"/>
      </rPr>
      <t>วงเงินงบประมาณย่อย 1,000,000 บาท</t>
    </r>
  </si>
  <si>
    <r>
      <t xml:space="preserve">ตามสัญญาเลขที่ วช.อว.(อ)(กบท1)/200/2564 
เรื่อง การพัฒนานวัตกรรมอเนกประสงค์
สำหรับบำบัดน้ำเสีย ระยะเวลา 27 เมษายน 
2564 - 26 ตุลาคม 2565 
</t>
    </r>
    <r>
      <rPr>
        <b/>
        <sz val="13"/>
        <color indexed="10"/>
        <rFont val="Angsana New"/>
        <family val="1"/>
      </rPr>
      <t>งบประมาณทั้งสิ้น 450,000 บาท</t>
    </r>
    <r>
      <rPr>
        <sz val="13"/>
        <color indexed="8"/>
        <rFont val="Angsana New"/>
        <family val="1"/>
      </rPr>
      <t xml:space="preserve"> </t>
    </r>
  </si>
  <si>
    <r>
      <t xml:space="preserve">ตามสัญญาเลขที่ N71B650090  เรื่อง 
นวัตกรรมการผลิตปุ๋ยชีวภาพจากวัสดุ
เหลือทิ้งทางการเกษตร ด้วยกระบวนการหมัก
แบบไร้อากาศ ระยะเวลา 31 มกราคม 2565
ถึง 30 มกราคม 2566 
</t>
    </r>
    <r>
      <rPr>
        <b/>
        <sz val="13"/>
        <color indexed="10"/>
        <rFont val="Angsana New"/>
        <family val="1"/>
      </rPr>
      <t>งบประมาณทั้งสิ้น 450,000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</si>
  <si>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4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</si>
  <si>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1
</t>
    </r>
    <r>
      <rPr>
        <b/>
        <sz val="13"/>
        <color indexed="10"/>
        <rFont val="Angsana New"/>
        <family val="1"/>
      </rPr>
      <t>วงเงินงบประมาณทั้งสิ้น 128,000 บาท</t>
    </r>
  </si>
  <si>
    <t>19/09/2566</t>
  </si>
  <si>
    <t>PR2-2566:47/47</t>
  </si>
  <si>
    <t>RV00020900066090369</t>
  </si>
  <si>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2
</t>
    </r>
    <r>
      <rPr>
        <b/>
        <sz val="13"/>
        <color indexed="10"/>
        <rFont val="Angsana New"/>
        <family val="1"/>
      </rPr>
      <t>วงเงินงบประมาณทั้งสิ้น 128,000 บาท</t>
    </r>
  </si>
  <si>
    <t>PR2-2566:47/46</t>
  </si>
  <si>
    <t>RV00020900066090371</t>
  </si>
  <si>
    <t>ผศ.ดร.ศุภชัย นิติพันธ์</t>
  </si>
  <si>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indexed="10"/>
        <rFont val="Angsana New"/>
        <family val="1"/>
      </rPr>
      <t>วงเงินงบประมาณทั้งสิ้น 35,000 บาท</t>
    </r>
    <r>
      <rPr>
        <sz val="13"/>
        <color indexed="8"/>
        <rFont val="Angsana New"/>
        <family val="1"/>
      </rPr>
      <t xml:space="preserve"> </t>
    </r>
  </si>
  <si>
    <t>PR2-2566:50/23</t>
  </si>
  <si>
    <t>RV00020900066090620</t>
  </si>
  <si>
    <t>องค์การบริหารส่วน
จังหวัดยะลา</t>
  </si>
  <si>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t>
    </r>
    <r>
      <rPr>
        <b/>
        <sz val="13"/>
        <color indexed="10"/>
        <rFont val="Angsana New"/>
        <family val="1"/>
      </rPr>
      <t>งบประมาณทั้งสิ้น 400,000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</si>
  <si>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2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</si>
  <si>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2 
</t>
    </r>
    <r>
      <rPr>
        <b/>
        <sz val="13"/>
        <color indexed="10"/>
        <rFont val="Angsana New"/>
        <family val="1"/>
      </rPr>
      <t>งบประมาณโครงการทั้งสิ้น 844,200 บาท</t>
    </r>
  </si>
  <si>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(ยกเว้นเงินอุดหนุนสถาบัน)
</t>
    </r>
    <r>
      <rPr>
        <b/>
        <sz val="13"/>
        <color indexed="10"/>
        <rFont val="Angsana New"/>
        <family val="1"/>
      </rPr>
      <t>งบประมาณทั้งสิ้น 582,000.00 บาท</t>
    </r>
    <r>
      <rPr>
        <sz val="13"/>
        <color indexed="10"/>
        <rFont val="Angsana New"/>
        <family val="1"/>
      </rPr>
      <t xml:space="preserve">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</si>
  <si>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1</t>
    </r>
    <r>
      <rPr>
        <b/>
        <sz val="13"/>
        <color indexed="1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</si>
  <si>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3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</si>
  <si>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3 
</t>
    </r>
    <r>
      <rPr>
        <b/>
        <sz val="13"/>
        <color indexed="10"/>
        <rFont val="Angsana New"/>
        <family val="1"/>
      </rPr>
      <t>งบประมาณโครงการทั้งสิ้น 844,200 บาท</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</si>
  <si>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2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</si>
  <si>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3
</t>
    </r>
    <r>
      <rPr>
        <b/>
        <sz val="13"/>
        <color indexed="10"/>
        <rFont val="Angsana New"/>
        <family val="1"/>
      </rPr>
      <t>งบประมาณทั้งสิ้น 530,000 บาท</t>
    </r>
    <r>
      <rPr>
        <sz val="13"/>
        <color indexed="8"/>
        <rFont val="Angsana New"/>
        <family val="1"/>
      </rPr>
      <t xml:space="preserve"> </t>
    </r>
  </si>
  <si>
    <t>PR2-2566:47/48</t>
  </si>
  <si>
    <t>RV00020900066090370</t>
  </si>
  <si>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4
</t>
    </r>
    <r>
      <rPr>
        <b/>
        <sz val="13"/>
        <color indexed="10"/>
        <rFont val="Angsana New"/>
        <family val="1"/>
      </rPr>
      <t>งบประมาณทั้งสิ้น 530,000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</si>
  <si>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</si>
  <si>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2
</t>
    </r>
    <r>
      <rPr>
        <b/>
        <sz val="13"/>
        <color indexed="10"/>
        <rFont val="Angsana New"/>
        <family val="1"/>
      </rPr>
      <t xml:space="preserve">วงเงินงบประมาณทั้งสิ้น 3,000,000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</si>
  <si>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1
</t>
    </r>
    <r>
      <rPr>
        <b/>
        <sz val="13"/>
        <color indexed="10"/>
        <rFont val="Angsana New"/>
        <family val="1"/>
      </rPr>
      <t xml:space="preserve">งบประมาณทั้งสิ้น 600,000 บาท </t>
    </r>
  </si>
  <si>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1 
</t>
    </r>
    <r>
      <rPr>
        <b/>
        <sz val="13"/>
        <color indexed="10"/>
        <rFont val="Angsana New"/>
        <family val="1"/>
      </rPr>
      <t>งบประมาณทั้งสิ้น 340,000.00 บาท</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</si>
  <si>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1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</si>
  <si>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</si>
  <si>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</si>
  <si>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3 
</t>
    </r>
    <r>
      <rPr>
        <b/>
        <sz val="13"/>
        <color indexed="10"/>
        <rFont val="Angsana New"/>
        <family val="1"/>
      </rPr>
      <t xml:space="preserve">งบประมาณโครงการย่อย 499,000 บาท </t>
    </r>
  </si>
  <si>
    <t>PR2-2566:50/40</t>
  </si>
  <si>
    <t>RV00020900066090656</t>
  </si>
  <si>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2 
</t>
    </r>
    <r>
      <rPr>
        <b/>
        <sz val="13"/>
        <color indexed="10"/>
        <rFont val="Angsana New"/>
        <family val="1"/>
      </rPr>
      <t>งบประมาณทั้งสิ้น 340,000.00 บาท</t>
    </r>
  </si>
  <si>
    <r>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r>
    <r>
      <rPr>
        <sz val="13"/>
        <color indexed="10"/>
        <rFont val="Angsana New"/>
        <family val="1"/>
      </rPr>
      <t>(ค่าหลักประกันสัญญา/เงินประกันผลงาน 
ขององค์การบริหารส่วนตำบลมะม่วงสองต้น อำเภอเมือง จังหวัดนครศรีธรรมราช)</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</si>
  <si>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2
</t>
    </r>
    <r>
      <rPr>
        <b/>
        <sz val="13"/>
        <color indexed="10"/>
        <rFont val="Angsana New"/>
        <family val="1"/>
      </rPr>
      <t>งบประมาณโครงการทั้งสิ้น 650,000 บาท</t>
    </r>
  </si>
  <si>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</si>
  <si>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1
</t>
    </r>
    <r>
      <rPr>
        <b/>
        <sz val="13"/>
        <color indexed="10"/>
        <rFont val="Angsana New"/>
        <family val="1"/>
      </rPr>
      <t xml:space="preserve">งบประมาณทั้งสิ้น 400,000 บาท </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</si>
  <si>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1
</t>
    </r>
    <r>
      <rPr>
        <b/>
        <sz val="13"/>
        <color indexed="10"/>
        <rFont val="Angsana New"/>
        <family val="1"/>
      </rPr>
      <t xml:space="preserve">วงเงินงบประมาณย่อย 466,950 บาท </t>
    </r>
  </si>
  <si>
    <t>07/09/2566</t>
  </si>
  <si>
    <t>PL2-2566:6/1</t>
  </si>
  <si>
    <t>RV00020900066090063</t>
  </si>
  <si>
    <r>
      <t xml:space="preserve">องค์กรปกครองส่วนท้องถิ่น
จำนวน 1 หน่วยงาน
</t>
    </r>
    <r>
      <rPr>
        <b/>
        <sz val="13"/>
        <color indexed="10"/>
        <rFont val="Angsana New"/>
        <family val="1"/>
      </rPr>
      <t>(เทศบาลเมืองระนอง)</t>
    </r>
  </si>
  <si>
    <t>PL2-2566:6/28</t>
  </si>
  <si>
    <t>RV00020900066090657</t>
  </si>
  <si>
    <t>PL2-2566:6/27</t>
  </si>
  <si>
    <t>RV00020900066090658</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</si>
  <si>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ประสิทธิผลการปฏิบัติราชการขององค์กรปกครองส่วนท้องถิ่น ประจำปีงบประมาณ 
พ.ศ. 2566 </t>
  </si>
  <si>
    <t>PL2-2566:6/30</t>
  </si>
  <si>
    <t>RV00020900066090659</t>
  </si>
  <si>
    <t>30/09/2566</t>
  </si>
  <si>
    <t>JV00020900066090098</t>
  </si>
  <si>
    <t>องค์กรปกครองส่วนท้องถิ่น
จำนวน 106 หน่วยงาน</t>
  </si>
  <si>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2 
</t>
    </r>
    <r>
      <rPr>
        <b/>
        <sz val="13"/>
        <color indexed="10"/>
        <rFont val="Angsana New"/>
        <family val="1"/>
      </rPr>
      <t>งบประมาณโครงการทั้งสิ้น 500,000 บาท</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</si>
  <si>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1-3 </t>
    </r>
    <r>
      <rPr>
        <b/>
        <sz val="13"/>
        <color indexed="10"/>
        <rFont val="Angsana New"/>
        <family val="1"/>
      </rPr>
      <t>งบประมาณทั้งสิ้น 699,999.00 บาท</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</si>
  <si>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1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</si>
  <si>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1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</si>
  <si>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4 </t>
    </r>
    <r>
      <rPr>
        <b/>
        <sz val="13"/>
        <color indexed="10"/>
        <rFont val="Angsana New"/>
        <family val="1"/>
      </rPr>
      <t>งบประมาณทั้งสิ้น 699,999.00 บาท</t>
    </r>
  </si>
  <si>
    <t>กำกับดูแลสถาบันวิจัย
และพัฒนา</t>
  </si>
  <si>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2
</t>
    </r>
    <r>
      <rPr>
        <b/>
        <sz val="13"/>
        <color indexed="10"/>
        <rFont val="Angsana New"/>
        <family val="1"/>
      </rPr>
      <t>วงเงินงบประมาณทั้งสิ้น 500,000 บาท</t>
    </r>
    <r>
      <rPr>
        <sz val="13"/>
        <color indexed="8"/>
        <rFont val="Angsana New"/>
        <family val="1"/>
      </rPr>
      <t xml:space="preserve"> </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</si>
  <si>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งวดสุดท้าย
</t>
    </r>
    <r>
      <rPr>
        <b/>
        <sz val="13"/>
        <color indexed="10"/>
        <rFont val="Angsana New"/>
        <family val="1"/>
      </rPr>
      <t>งบประมาณทั้งสิ้น 7,700,000 บาท</t>
    </r>
    <r>
      <rPr>
        <b/>
        <sz val="13"/>
        <color indexed="8"/>
        <rFont val="Angsana New"/>
        <family val="1"/>
      </rPr>
      <t xml:space="preserve"> </t>
    </r>
    <r>
      <rPr>
        <sz val="13"/>
        <color indexed="8"/>
        <rFont val="Angsana New"/>
        <family val="1"/>
      </rPr>
      <t xml:space="preserve">
</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</si>
  <si>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3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</si>
  <si>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2
</t>
    </r>
    <r>
      <rPr>
        <b/>
        <sz val="13"/>
        <color indexed="10"/>
        <rFont val="Angsana New"/>
        <family val="1"/>
      </rPr>
      <t>งบประมาณทั้งสิ้น 3,066,837 บาท</t>
    </r>
    <r>
      <rPr>
        <sz val="13"/>
        <color indexed="8"/>
        <rFont val="Angsana New"/>
        <family val="1"/>
      </rPr>
      <t xml:space="preserve">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</si>
  <si>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3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 และในงวดที่ 3
ได้หักเงินเหลือจากงวดที่ 1-2 เป็นเงิน
3,762.61 บาท ก่อนโอนงวดที่ 3</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</si>
  <si>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1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</si>
  <si>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2
</t>
    </r>
    <r>
      <rPr>
        <b/>
        <sz val="13"/>
        <color indexed="10"/>
        <rFont val="Angsana New"/>
        <family val="1"/>
      </rPr>
      <t>วงเงินทั้งสิ้น 559,130 บาท</t>
    </r>
    <r>
      <rPr>
        <b/>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</si>
  <si>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1
</t>
    </r>
    <r>
      <rPr>
        <b/>
        <sz val="13"/>
        <color indexed="10"/>
        <rFont val="Angsana New"/>
        <family val="1"/>
      </rPr>
      <t>วงเงินงบประมาณย่อย 1,000,000 บาท</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</si>
  <si>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3
</t>
    </r>
    <r>
      <rPr>
        <b/>
        <sz val="13"/>
        <color indexed="10"/>
        <rFont val="Angsana New"/>
        <family val="1"/>
      </rPr>
      <t xml:space="preserve">วงเงินทั้งสิ้น 559,130 บาท </t>
    </r>
    <r>
      <rPr>
        <sz val="13"/>
        <rFont val="Angsana New"/>
        <family val="1"/>
      </rPr>
      <t xml:space="preserve">
</t>
    </r>
    <r>
      <rPr>
        <b/>
        <sz val="13"/>
        <color indexed="10"/>
        <rFont val="Angsana New"/>
        <family val="1"/>
      </rPr>
      <t>หมายเหตุ : งวดที่ 3 มีการปรับลดวงเงินงบประมาณเหลือเพียง 9,541.50 บ.เนื่องจากส่งงานช้ากว่ากำหนด</t>
    </r>
  </si>
  <si>
    <r>
      <t xml:space="preserve">รศ.ดร.สมพงค์ โอทอง 
</t>
    </r>
    <r>
      <rPr>
        <b/>
        <u/>
        <sz val="13"/>
        <color indexed="8"/>
        <rFont val="Angsana New"/>
        <family val="1"/>
      </rPr>
      <t>ร่วมกับ ดร.จิราวุฒิ สีเงินยวง</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</si>
  <si>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การพัฒนาเทคโนโลยีผลิตไบโอไฮเทนและกรดอะซิติก
แบบปลดปล่อยคาร์บอนไดออกไซต์เป็นศูนย์จากวัสดุเศษเหลืออุตสาหกรรมปาล์มน้ำมัน
ด้วยกระบวนการหมักไร้อากาศสองขั้นตอน
และการเปลี่ยนคาร์บอนไดออกไซด์เป็นกรด
อะซิติกด้วย Clostridium thailandense 
TISTR 2984 
</t>
    </r>
    <r>
      <rPr>
        <b/>
        <sz val="13"/>
        <color indexed="10"/>
        <rFont val="Angsana New"/>
        <family val="1"/>
      </rPr>
      <t>งบประมาณจากมหาวิทยาลัยวลัยลักษณ์ 
วงเงิน 600,000 บาท และบริษัทเอกชน 
วงเงิน 90,000 บาท</t>
    </r>
  </si>
  <si>
    <r>
      <t xml:space="preserve">รศ.ดร.สมพงค์ โอทอง 
</t>
    </r>
    <r>
      <rPr>
        <b/>
        <u/>
        <sz val="13"/>
        <color indexed="8"/>
        <rFont val="Angsana New"/>
        <family val="1"/>
      </rPr>
      <t>ร่วมกับ นางสาวชลธิชา เลี่ยมดำ</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</si>
  <si>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การลดการปล่อยก๊าซเรือนกระจกในบ่อหลังการผลิตก๊าซ
ชีวภาพของโรงงานสกัดน้ำมันปาล์มด้วย
จุลลินทรีย์กลุ่มเมทาโนโทรฟ 
</t>
    </r>
    <r>
      <rPr>
        <b/>
        <sz val="13"/>
        <color indexed="10"/>
        <rFont val="Angsana New"/>
        <family val="1"/>
      </rPr>
      <t>งบประมาณจากมหาวิทยาลัยวลัยลักษณ์ 
วงเงิน 360,000 บาท และบริษัทเอกชน 
วงเงิน 40,000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</si>
  <si>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1 
</t>
    </r>
    <r>
      <rPr>
        <b/>
        <sz val="13"/>
        <color indexed="10"/>
        <rFont val="Angsana New"/>
        <family val="1"/>
      </rPr>
      <t>งบประมาณทั้งสิ้น 2,000,000 บาท</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</si>
  <si>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1 
</t>
    </r>
    <r>
      <rPr>
        <b/>
        <sz val="13"/>
        <color indexed="10"/>
        <rFont val="Angsana New"/>
        <family val="1"/>
      </rPr>
      <t>งบประมาณทั้งสิ้น 500,000 บาท</t>
    </r>
    <r>
      <rPr>
        <sz val="13"/>
        <color indexed="8"/>
        <rFont val="Angsana New"/>
        <family val="1"/>
      </rPr>
      <t xml:space="preserve"> </t>
    </r>
  </si>
  <si>
    <t>04/09/2566</t>
  </si>
  <si>
    <t>PR2-2566:43/47</t>
  </si>
  <si>
    <t>RV00020900066090021</t>
  </si>
  <si>
    <t>นายเทพรัตน์ จันทพันธ์</t>
  </si>
  <si>
    <t>กรมส่งเสริมวัฒนธรรม</t>
  </si>
  <si>
    <r>
      <t xml:space="preserve">ตามบันทึกข้อตกลงความร่วมมือได้สนับสนุน
งบประมาณในการดำเนินโครงการศึกษา
สถานภาพโนรา : มรดกวัฒนธรรมที่จับต้อง
ไม่ได้ของมนุษยชาติ 
</t>
    </r>
    <r>
      <rPr>
        <b/>
        <sz val="13"/>
        <color indexed="10"/>
        <rFont val="Angsana New"/>
        <family val="1"/>
      </rPr>
      <t xml:space="preserve">วงเงินงบประมาณทั้งสิ้น 350,000 บาท </t>
    </r>
  </si>
  <si>
    <t>ค้างส่งค่าธรรมเนียมวิจัย หรือ
เงินอุดหนุน
สถาบัน</t>
  </si>
  <si>
    <t>13/09/2566</t>
  </si>
  <si>
    <t>PR2-2566:45/42</t>
  </si>
  <si>
    <t>RV00020900066090212</t>
  </si>
  <si>
    <t>นายบุญเลิศ จันทระ</t>
  </si>
  <si>
    <t>สำนักงานคณะกรรมการ
กำกับกิจการพลังงาน 
(กองทุนพัฒนาไฟฟ้า
โรงไฟฟ้าจะนะ จังหวัด
สงขลา)</t>
  </si>
  <si>
    <r>
      <t xml:space="preserve">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t>
    </r>
    <r>
      <rPr>
        <b/>
        <sz val="13"/>
        <color indexed="10"/>
        <rFont val="Angsana New"/>
        <family val="1"/>
      </rPr>
      <t xml:space="preserve">งบประมาณทั้งสิ้น 500,000 บาท </t>
    </r>
  </si>
  <si>
    <t>25/09/2566</t>
  </si>
  <si>
    <t>PR2-2566:49/16</t>
  </si>
  <si>
    <t>RV00020900066090468</t>
  </si>
  <si>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2 
</t>
    </r>
    <r>
      <rPr>
        <b/>
        <sz val="13"/>
        <color indexed="10"/>
        <rFont val="Angsana New"/>
        <family val="1"/>
      </rPr>
      <t>งบประมาณทั้งสิ้น 500,000 บาท</t>
    </r>
    <r>
      <rPr>
        <sz val="13"/>
        <color indexed="8"/>
        <rFont val="Angsana New"/>
        <family val="1"/>
      </rPr>
      <t xml:space="preserve"> </t>
    </r>
  </si>
  <si>
    <t>RV00020900066120353
JV00020900066120094</t>
  </si>
  <si>
    <r>
      <t>สถาบันปฏิบัติการชุมชนเพื่อการศึกษาแบบ
บูรณาการ</t>
    </r>
    <r>
      <rPr>
        <b/>
        <i/>
        <sz val="13"/>
        <color indexed="8"/>
        <rFont val="Angsana New"/>
        <family val="1"/>
      </rPr>
      <t xml:space="preserve"> </t>
    </r>
    <r>
      <rPr>
        <b/>
        <u/>
        <sz val="13"/>
        <color indexed="8"/>
        <rFont val="Angsana New"/>
        <family val="1"/>
      </rPr>
      <t>เปลี่ยนชื่อเป็น
สถาบันปฏิบัติการชุมชนและการเรียนรู้ตลอดชีวิต</t>
    </r>
  </si>
  <si>
    <r>
      <t xml:space="preserve">ตามสัญญาเลขที่ N71B650095 การวิจัยเรื่อง 
ชุมชนต้นแบบนวัตกรรมผลิตผักอินทรีย์ระบบ
โรงเรือนต้นทุนต่ำของเครือข่ายกลุ่มวิสาหกิจ
ชุมชนเกษตรอินทรีย์บ้านทุ่งยาวพัฒนา อำเภอ
เขาชัยสน จังหวัดพัทลุง เพื่อความมั่นคงทาง
อาหารตามแนวหลักปรัชญาของเศรษฐกิจ
พอเพียง  (ระยะเวลา 31 มกราคม 2565 - 
30 มกราคม 2566) 
</t>
    </r>
    <r>
      <rPr>
        <b/>
        <sz val="13"/>
        <color indexed="10"/>
        <rFont val="Angsana New"/>
        <family val="1"/>
      </rPr>
      <t xml:space="preserve">งบประมาณทั้งสิ้น 500,000 บาท </t>
    </r>
  </si>
  <si>
    <r>
      <t xml:space="preserve">ตามสัญญาเลขที่ A13F660175 สัญญาให้ทุน
โครงการ ทะเลสาบสงขลานิเวศแห่งการเรียนรู้
สู่เมืองมรดกโลก งวดที่ 1 
</t>
    </r>
    <r>
      <rPr>
        <b/>
        <sz val="13"/>
        <color indexed="10"/>
        <rFont val="Angsana New"/>
        <family val="1"/>
      </rPr>
      <t>งบประมาณทั้งสิ้น 500,000 บาท</t>
    </r>
    <r>
      <rPr>
        <sz val="13"/>
        <color indexed="8"/>
        <rFont val="Angsana New"/>
        <family val="1"/>
      </rPr>
      <t xml:space="preserve"> </t>
    </r>
  </si>
  <si>
    <t>สำนักส่งเสริมบริการวิชาการและภูมิปัญญาชุมชน</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</si>
  <si>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1
</t>
    </r>
    <r>
      <rPr>
        <b/>
        <sz val="13"/>
        <color indexed="10"/>
        <rFont val="Angsana New"/>
        <family val="1"/>
      </rPr>
      <t>วงเงินงบประมาณย่อย  1,000,000 บาท</t>
    </r>
  </si>
  <si>
    <t>คณะวิทยาศาสตร์และนวัตกรรมดิจิทัล</t>
  </si>
  <si>
    <t>18/10/2566</t>
  </si>
  <si>
    <t>PR2-2567:1/29</t>
  </si>
  <si>
    <t>RV00021000067100059</t>
  </si>
  <si>
    <t>17/10/2566</t>
  </si>
  <si>
    <t>PR2-2567:1/25</t>
  </si>
  <si>
    <t>RV00021000067100050</t>
  </si>
  <si>
    <t>PR2-2567:1/26</t>
  </si>
  <si>
    <t>RV00021000067100049</t>
  </si>
  <si>
    <t>20/10/2566</t>
  </si>
  <si>
    <t>PR2-2567:1/40</t>
  </si>
  <si>
    <t>RV00021000067100075</t>
  </si>
  <si>
    <t>อาจารย์ปริยากรณ์ ชูแก้ว</t>
  </si>
  <si>
    <t>19/10/2566</t>
  </si>
  <si>
    <t>PR2-2567:1/30</t>
  </si>
  <si>
    <t>RV00021000067100060</t>
  </si>
  <si>
    <t>PR2-2567:1/28</t>
  </si>
  <si>
    <t>RV00021000067100058</t>
  </si>
  <si>
    <t>PR2-2567:1/35</t>
  </si>
  <si>
    <t>RV00021000067100070</t>
  </si>
  <si>
    <t>RV00021000067100076</t>
  </si>
  <si>
    <t>31/10/2566</t>
  </si>
  <si>
    <t>PL2-2567:1/22</t>
  </si>
  <si>
    <t>RV00021000067100176</t>
  </si>
  <si>
    <t>องค์กรปกครองส่วนท้องถิ่น
จำนวน 11 หน่วยงาน</t>
  </si>
  <si>
    <t>PR2-2567:1/24</t>
  </si>
  <si>
    <t>RV00021000067100051</t>
  </si>
  <si>
    <t xml:space="preserve">มหาวิทยาลัยสงขลานครินทร์ </t>
  </si>
  <si>
    <t>PR2-2567:3/19</t>
  </si>
  <si>
    <t>RV00021000067100179</t>
  </si>
  <si>
    <t>สำหรับเงินสนับสนุนค่าธรรมเนียมอุดหนุน
สถาบัน  สำหรับโครงการที่ 2 การประเมินประสิทธิภาพและความปลอดภัยของ
ผลิตภัณฑ์สมุนไพรพืชกระท่อมเพื่อสุขภาพ 
งวดที่ 3 (เงินสนับสนุนจากโครงการวิจัย
จากหน่วยบริหารจัดการทุนด้านการเพิ่มความสามารถในการแข่งขันของประเทศ และสำนักงานการวิจัยแห่งชาติ)</t>
  </si>
  <si>
    <t>PL2-2567:1/20</t>
  </si>
  <si>
    <t>RV00021000067100178</t>
  </si>
  <si>
    <t>สถาบันส่งเสริมการบริการวิชาการ</t>
  </si>
  <si>
    <t>02/11/2566</t>
  </si>
  <si>
    <t>PR2-2567:3/36</t>
  </si>
  <si>
    <t>RV00021000067110014</t>
  </si>
  <si>
    <t>06/11/2566</t>
  </si>
  <si>
    <t>PR2-2567:3/47</t>
  </si>
  <si>
    <t>RV00021000067110046</t>
  </si>
  <si>
    <t>องค์การบริหารส่วนจังหวัดสงขลา</t>
  </si>
  <si>
    <t>08/11/2566</t>
  </si>
  <si>
    <t>PR2-2567:4/4</t>
  </si>
  <si>
    <t>RV00021000067110065</t>
  </si>
  <si>
    <t>13/11/2566</t>
  </si>
  <si>
    <t>PR2-2567:5/8</t>
  </si>
  <si>
    <t>RV00021000067110123</t>
  </si>
  <si>
    <t>16/11/2566</t>
  </si>
  <si>
    <t>PL2-2567:1/43</t>
  </si>
  <si>
    <t>RV00021000067110149</t>
  </si>
  <si>
    <t>21/11/2566</t>
  </si>
  <si>
    <t>PR2-2567:6/8</t>
  </si>
  <si>
    <t>RV00021000067110206</t>
  </si>
  <si>
    <t>23/11/2566</t>
  </si>
  <si>
    <t>PL2-2567:2/6</t>
  </si>
  <si>
    <t>RV00021000067110232</t>
  </si>
  <si>
    <t>17/11/2566</t>
  </si>
  <si>
    <t>PR2-2567:5/35</t>
  </si>
  <si>
    <t>RV00021000067110173</t>
  </si>
  <si>
    <t>PR2-2567:5/7</t>
  </si>
  <si>
    <t>RV00021000067110122</t>
  </si>
  <si>
    <t xml:space="preserve"> มหาวิทยาลัยทักษิณ</t>
  </si>
  <si>
    <t>รายงานรายได้เพื่อการวิจัยจากแหล่งทุนภายนอก - สรุปรายรับ(100%) จำแนกรายเดือน</t>
  </si>
  <si>
    <t>ที่</t>
  </si>
  <si>
    <t>จำนวนเงินรับ  (100%)</t>
  </si>
  <si>
    <t>ต.ค.66</t>
  </si>
  <si>
    <t>พ.ย.66</t>
  </si>
  <si>
    <t>ธ.ค.66</t>
  </si>
  <si>
    <t>ม.ค.67</t>
  </si>
  <si>
    <t>ก.พ.67</t>
  </si>
  <si>
    <t>มี.ค.67</t>
  </si>
  <si>
    <t>เม.ย.67</t>
  </si>
  <si>
    <t>พ.ค.67</t>
  </si>
  <si>
    <t>มิ.ย.67</t>
  </si>
  <si>
    <t>ก.ค.67</t>
  </si>
  <si>
    <t>ส.ค.67</t>
  </si>
  <si>
    <t>ก.ย.67</t>
  </si>
  <si>
    <t>04/12/2566</t>
  </si>
  <si>
    <t>PR2-2567:7/6</t>
  </si>
  <si>
    <t>RV00021000067120012</t>
  </si>
  <si>
    <t>อาจารย์บงกช ดารารัตน์</t>
  </si>
  <si>
    <t>18/12/2566</t>
  </si>
  <si>
    <t>PR2-2567:8/15</t>
  </si>
  <si>
    <t>RV00021000067120168</t>
  </si>
  <si>
    <t>19/12/2566</t>
  </si>
  <si>
    <t>PR2-2567:9/27</t>
  </si>
  <si>
    <t>RV00021000067120192</t>
  </si>
  <si>
    <t>22/12/2566</t>
  </si>
  <si>
    <t>PL2-2567:2/33</t>
  </si>
  <si>
    <t>RV00021000067120249</t>
  </si>
  <si>
    <t>26/12/2566</t>
  </si>
  <si>
    <t>PL2-2567:2/38</t>
  </si>
  <si>
    <t>RV00021000067120280</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</si>
  <si>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2566 </t>
  </si>
  <si>
    <t>08/01/2567</t>
  </si>
  <si>
    <t>PR2-2567:12/10</t>
  </si>
  <si>
    <t>RV00021000067010087</t>
  </si>
  <si>
    <t>05/01/2567</t>
  </si>
  <si>
    <t>PR2-2567:11/36</t>
  </si>
  <si>
    <t>RV00021000067010053</t>
  </si>
  <si>
    <t>ผศ.ดร.จิดาภา พรยิ่ง</t>
  </si>
  <si>
    <t>กองทุนและส่งเสริม
ความเสมอภาคคนพิการ</t>
  </si>
  <si>
    <t>16/01/2567</t>
  </si>
  <si>
    <t>PR2-2567:13/9</t>
  </si>
  <si>
    <t>RV00021000067010194</t>
  </si>
  <si>
    <t>31/01/2567</t>
  </si>
  <si>
    <t>RV00021000067010392</t>
  </si>
  <si>
    <t>10/01/2567</t>
  </si>
  <si>
    <t>PR2-2567:13/8</t>
  </si>
  <si>
    <t>RV00021000067010196</t>
  </si>
  <si>
    <t>PR2-2567:12/43</t>
  </si>
  <si>
    <t>RV00021000067010138</t>
  </si>
  <si>
    <t>PR2-2567:12/42</t>
  </si>
  <si>
    <t>RV00021000067010139</t>
  </si>
  <si>
    <t>PR2-2567:13/7</t>
  </si>
  <si>
    <t>RV00021000067010195</t>
  </si>
  <si>
    <t>PR2-2567:1/41</t>
  </si>
  <si>
    <t>17/01/2567</t>
  </si>
  <si>
    <t>PL2-2567:3/4</t>
  </si>
  <si>
    <t>RV00021000067010212</t>
  </si>
  <si>
    <t>สถาบันวิจัยและนวัตกรรม</t>
  </si>
  <si>
    <t>อุทยานวิทยาศาสตร์และนวัตกรรมสังคม</t>
  </si>
  <si>
    <t>27/02/2567</t>
  </si>
  <si>
    <t>PR2-2567:17/41</t>
  </si>
  <si>
    <t>RV00021000067020259</t>
  </si>
  <si>
    <t>13/02/2567</t>
  </si>
  <si>
    <t>PR2-2567:17/1</t>
  </si>
  <si>
    <t>RV00021000067020139</t>
  </si>
  <si>
    <t>28/02/2567</t>
  </si>
  <si>
    <t>PR2-2567:17/49</t>
  </si>
  <si>
    <t>RV00021000067020274</t>
  </si>
  <si>
    <t xml:space="preserve">บริษัท DSM SINGAPORE INDSTRIAL PTE. LTD. </t>
  </si>
  <si>
    <t>16/02/2567</t>
  </si>
  <si>
    <t>PR2-2567:17/20</t>
  </si>
  <si>
    <t>RV00021000067020171</t>
  </si>
  <si>
    <t>PR2-2567:17/2</t>
  </si>
  <si>
    <t>RV00021000067020138</t>
  </si>
  <si>
    <t>01/02/2567</t>
  </si>
  <si>
    <t>PR2-2567:15/6</t>
  </si>
  <si>
    <t>RV00021000067020006</t>
  </si>
  <si>
    <t>PR2-2567:15/7 และ PR2-2567:15/8</t>
  </si>
  <si>
    <t>RV00021000067020007</t>
  </si>
  <si>
    <t>PR2-2567:17/19</t>
  </si>
  <si>
    <t>RV00021000067020166</t>
  </si>
  <si>
    <t>ผศ.ดร.นุกูล อินทระสังขา</t>
  </si>
  <si>
    <t>หักใน
งวดที่ 3</t>
  </si>
  <si>
    <t>28/03/2567</t>
  </si>
  <si>
    <t>PR2-2567:21/30</t>
  </si>
  <si>
    <t>RV00021000067030268</t>
  </si>
  <si>
    <t>ผศ.เอกราช สุวรรณรัตน์</t>
  </si>
  <si>
    <t>21/03/2567</t>
  </si>
  <si>
    <t>PR2-2567:20/39</t>
  </si>
  <si>
    <t>RV00021000067030186</t>
  </si>
  <si>
    <t>สำนักงานปลัดกระทรวง
การอุดมศึกษา 
วิทยาศาสตร์ วิจัยและนวัตกรรม</t>
  </si>
  <si>
    <t>PR2-2567:21/27</t>
  </si>
  <si>
    <t>RV00021000067030269</t>
  </si>
  <si>
    <t>อาจารย์ ดร.วราภรณ์ ทะนงศักดิ์</t>
  </si>
  <si>
    <t>29/03/2567</t>
  </si>
  <si>
    <t>PR2-2567:21/39</t>
  </si>
  <si>
    <t>RV00021000067030285</t>
  </si>
  <si>
    <t>13/03/2567</t>
  </si>
  <si>
    <t>RV00021000067030107</t>
  </si>
  <si>
    <t>PR2-2567:21/28</t>
  </si>
  <si>
    <t>RV00021000067030270</t>
  </si>
  <si>
    <t>รศ.ดร.พฤทฐิภร ศุภพล</t>
  </si>
  <si>
    <t>15/03/2567</t>
  </si>
  <si>
    <t>PR2-2567:19/44</t>
  </si>
  <si>
    <t>RV00021000067030137</t>
  </si>
  <si>
    <t>ผศ.ดร.สิงหา ประสิทธิ์พงศ์</t>
  </si>
  <si>
    <t>ศูนย์ภูมิภาคว่าด้วยสเต็ม
ศึกษาขององค์การรัฐมนตรี
ศึกษาแห่งเอชียตะวันออก
เฉียงใต้</t>
  </si>
  <si>
    <t>RV00021000067030284</t>
  </si>
  <si>
    <t>นำส่งงวดสุดท้าย</t>
  </si>
  <si>
    <r>
      <rPr>
        <b/>
        <u/>
        <sz val="12"/>
        <color indexed="8"/>
        <rFont val="Angsana New"/>
        <family val="1"/>
      </rPr>
      <t>ยกเว้น</t>
    </r>
    <r>
      <rPr>
        <b/>
        <sz val="12"/>
        <color indexed="8"/>
        <rFont val="Angsana New"/>
        <family val="1"/>
      </rPr>
      <t xml:space="preserve">
ค่าธรรมเนียม
การวิจัย</t>
    </r>
  </si>
  <si>
    <t>25/04/2567</t>
  </si>
  <si>
    <t>PR2-2567:26/45</t>
  </si>
  <si>
    <t>RV00021000067040209</t>
  </si>
  <si>
    <t>ผู้ช่วยศาสตราจารย์ อนงค์ ภิบาล</t>
  </si>
  <si>
    <t>03/04/2567</t>
  </si>
  <si>
    <t>PR2-2567:22/16</t>
  </si>
  <si>
    <t>RV00021000067040030</t>
  </si>
  <si>
    <t>10/04/2567</t>
  </si>
  <si>
    <t>PR2-2567:22/38</t>
  </si>
  <si>
    <t>RV00021000067040142</t>
  </si>
  <si>
    <t>ผศ.ดร.ธนภัทร เต็มรัตนะกุล</t>
  </si>
  <si>
    <t>PR2-2567:26/42</t>
  </si>
  <si>
    <t>RV00021000067040206</t>
  </si>
  <si>
    <t>PR2-2567:26/41 (ยกเลิก) และ
ออกใหม่แทน PR2-2567:29/48</t>
  </si>
  <si>
    <t>RV00021000067040205</t>
  </si>
  <si>
    <t>รศ.ดร.แจ่มจันทร์ เพชรศิริ</t>
  </si>
  <si>
    <t>PR2-2567:26/43</t>
  </si>
  <si>
    <t>RV00021000067040207</t>
  </si>
  <si>
    <t>PR2-2567:26/44</t>
  </si>
  <si>
    <t>RV00021000067040208</t>
  </si>
  <si>
    <t>อาจารย์ ดร.วันกุศล ชนะสิทธิ์</t>
  </si>
  <si>
    <t>26/04/2567</t>
  </si>
  <si>
    <t>PR2-2567:27/25</t>
  </si>
  <si>
    <t>RV00021000067040228</t>
  </si>
  <si>
    <t>อาจารย์ ดร.สุนทรี วรรณไพเราะ</t>
  </si>
  <si>
    <t>05/04/2567</t>
  </si>
  <si>
    <t>PL2-2567:4/19</t>
  </si>
  <si>
    <t>RV00021000067040077</t>
  </si>
  <si>
    <t>11/04/2567</t>
  </si>
  <si>
    <t>PL2-2567:4/21</t>
  </si>
  <si>
    <t>RV00021000067040143</t>
  </si>
  <si>
    <t>PR2-2567:29/43</t>
  </si>
  <si>
    <t>RV00021000067050046</t>
  </si>
  <si>
    <t>PR2-2567:29/42</t>
  </si>
  <si>
    <t>RV00021000067050047</t>
  </si>
  <si>
    <t>PR2-2567:31/16</t>
  </si>
  <si>
    <t>RV00021000067050087</t>
  </si>
  <si>
    <t>PR2-2567:31/49</t>
  </si>
  <si>
    <t>RV00021000067050143</t>
  </si>
  <si>
    <t>PR2-2567:32/5</t>
  </si>
  <si>
    <t>RV00021000067050223</t>
  </si>
  <si>
    <t xml:space="preserve">ผศ.ดร.สุภฎา คีรีรัฐนิคม </t>
  </si>
  <si>
    <t>บริษัท บีเอเอสเอฟ (ไทย) จำกัด</t>
  </si>
  <si>
    <t>PR2-2567:31/15</t>
  </si>
  <si>
    <t>RV00021000067050086</t>
  </si>
  <si>
    <t>มหาวิทยาลัย
สงขลานครินทร์ 
(เครือข่ายอุดมศึกษา
ภาคใต้ตอนล่าง)</t>
  </si>
  <si>
    <t>PR2-2567:31/18</t>
  </si>
  <si>
    <t>RV00021000067050089</t>
  </si>
  <si>
    <t>PR2-2567:31/17</t>
  </si>
  <si>
    <t>RV00021000067050088</t>
  </si>
  <si>
    <t>PL2-2567:4/48</t>
  </si>
  <si>
    <t>RV00021000067050364</t>
  </si>
  <si>
    <t>ดำเนินการภายใต้สถาบันวิจัยและนวัตกรรม</t>
  </si>
  <si>
    <t>PR2-2567:14/46
 และ 
PR2-2567:14/47</t>
  </si>
  <si>
    <t>PR2-2567:34/44</t>
  </si>
  <si>
    <t>RV00021000067060031</t>
  </si>
  <si>
    <t>PR2-2567:36/26</t>
  </si>
  <si>
    <t>RV00021000067060273</t>
  </si>
  <si>
    <t>นางสาวอุษณา โกเอี้ยน 
นักศึกษาระดับปริญญาโท โดยมี ผู้ช่วยศาสตราจารย์ ตั้ม บุญรอด 
เป็นอาจารย์ที่ปรึกษา</t>
  </si>
  <si>
    <t>PR2-2567:34/3</t>
  </si>
  <si>
    <t>RV00021000067060005</t>
  </si>
  <si>
    <t>PR2-2567:34/5</t>
  </si>
  <si>
    <t>RV00021000067060007</t>
  </si>
  <si>
    <t>ผศ.ดร.มณฑล เลิศวรปรีชา</t>
  </si>
  <si>
    <t>บริษัท เค.เอ็ม.พี.ไบโอเทค 
จำกัด</t>
  </si>
  <si>
    <t>PR2-2567:36/25</t>
  </si>
  <si>
    <t>RV00021000067060216</t>
  </si>
  <si>
    <t>PR2-2567:36/28</t>
  </si>
  <si>
    <t>RV00021000067060219</t>
  </si>
  <si>
    <t>PR2-2567:34/4</t>
  </si>
  <si>
    <t>RV00021000067060006</t>
  </si>
  <si>
    <t>PR2-2567:36/27</t>
  </si>
  <si>
    <t>RV00021000067060218</t>
  </si>
  <si>
    <t>อาจารย์ อรศิริ ลีลายุทธชัย</t>
  </si>
  <si>
    <t>PR2-2567:34/8</t>
  </si>
  <si>
    <t>RV00021000067060008</t>
  </si>
  <si>
    <t>PR2-2567:34/7</t>
  </si>
  <si>
    <t>RV00021000067060009</t>
  </si>
  <si>
    <t>01/07/2567</t>
  </si>
  <si>
    <t>PR2-2567:37/41</t>
  </si>
  <si>
    <t>RV00021000067070013</t>
  </si>
  <si>
    <t>18/07/2567</t>
  </si>
  <si>
    <t>PR2-2567:40/5</t>
  </si>
  <si>
    <t>RV00021000067070320</t>
  </si>
  <si>
    <t>15/07/2567</t>
  </si>
  <si>
    <t>PR2-2567:39/26</t>
  </si>
  <si>
    <t>RV00021000067070247</t>
  </si>
  <si>
    <t>08/07/2567</t>
  </si>
  <si>
    <t>PR2-2567:38/27</t>
  </si>
  <si>
    <t>RV00021000067070153</t>
  </si>
  <si>
    <t>30/07/2567</t>
  </si>
  <si>
    <t>PR2-2567:40/47</t>
  </si>
  <si>
    <t>RV00021000067070435</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</si>
  <si>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4
</t>
    </r>
    <r>
      <rPr>
        <b/>
        <sz val="13"/>
        <color rgb="FFFF0000"/>
        <rFont val="Angsana New"/>
        <family val="1"/>
      </rPr>
      <t xml:space="preserve">วงเงินทั้งสิ้น 400,000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</si>
  <si>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3</t>
    </r>
    <r>
      <rPr>
        <sz val="13"/>
        <color theme="1"/>
        <rFont val="Angsana New"/>
        <family val="1"/>
      </rPr>
      <t xml:space="preserve"> แพะหวะแก้จน 
จังหวัดพัทลุงโมเดล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</si>
  <si>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4</t>
    </r>
    <r>
      <rPr>
        <sz val="13"/>
        <color theme="1"/>
        <rFont val="Angsana New"/>
        <family val="1"/>
      </rPr>
      <t xml:space="preserve"> วิชชายุทธเกษตรสู้จน 
คนศรีนครินทร์ งวดที่ 2 
</t>
    </r>
    <r>
      <rPr>
        <b/>
        <sz val="13"/>
        <color rgb="FFFF0000"/>
        <rFont val="Angsana New"/>
        <family val="1"/>
      </rPr>
      <t>วงเงินงบประมาณย่อย 1,100,000 บาท</t>
    </r>
  </si>
  <si>
    <t>06/08/2567</t>
  </si>
  <si>
    <t>PR2-2567:41/32</t>
  </si>
  <si>
    <t>RV00021000067080065</t>
  </si>
  <si>
    <t>กลุ่มวิสาหกิจชุมชน
ชาวนาพัทลุง</t>
  </si>
  <si>
    <r>
      <t xml:space="preserve">ตามข้อตกการสนับสนุนทุนจากงบประมาณ
เงินรายได้ กองทุนวิจัยมหาวิทยาลัยทักษิณ 
ประจำปีงบประมาณ 2567 เลขที่ 
TSU67-ECO002 ตามสัญญาระบุการร่วม
ทุนวิจัย ภายใต้โครงการวิจัย เรื่อง การกระตุ้นการงอกของเมล็ดพันธุ์ข้าวอินทรีย์ด้วยโอโซน
ในกระบวนการผลิตข้าวกล้องงอก 
</t>
    </r>
    <r>
      <rPr>
        <b/>
        <sz val="13"/>
        <color rgb="FFFF0000"/>
        <rFont val="Angsana New"/>
        <family val="1"/>
      </rPr>
      <t>งบประมาณทั้งสิ้น 90,000 บาท 
สนับสนุนโดยผู้ร่วมทุน 9,000 บาท</t>
    </r>
  </si>
  <si>
    <t>PR2-2567:41/34</t>
  </si>
  <si>
    <t>RV00021000067080067</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</si>
  <si>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3</t>
    </r>
    <r>
      <rPr>
        <sz val="13"/>
        <color theme="1"/>
        <rFont val="Angsana New"/>
        <family val="1"/>
      </rPr>
      <t xml:space="preserve"> การเลี้ยงแพะหวะแก้จน 
จังหวัดพัทลุง งวดที่ 3
</t>
    </r>
    <r>
      <rPr>
        <b/>
        <sz val="13"/>
        <color rgb="FFFF0000"/>
        <rFont val="Angsana New"/>
        <family val="1"/>
      </rPr>
      <t xml:space="preserve">งบประมาณทั้งสิ้น 1,530,000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</si>
  <si>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1
</t>
    </r>
    <r>
      <rPr>
        <b/>
        <sz val="13"/>
        <color rgb="FFFF000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</si>
  <si>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3</t>
    </r>
    <r>
      <rPr>
        <sz val="13"/>
        <color theme="1"/>
        <rFont val="Angsana New"/>
        <family val="1"/>
      </rPr>
      <t xml:space="preserve"> การพัฒนาช่องทางการตลาดผลิตภัณฑ์ปลาดุกร้าในพื้นที่รอบ
ลุ่มน้ำทะเลสาบสงขลา งวดที่ 2
</t>
    </r>
    <r>
      <rPr>
        <b/>
        <sz val="13"/>
        <color rgb="FFFF0000"/>
        <rFont val="Angsana New"/>
        <family val="1"/>
      </rPr>
      <t xml:space="preserve">วงเงินงบประมาณย่อย 466,950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</si>
  <si>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2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</si>
  <si>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3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</si>
  <si>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4
</t>
    </r>
    <r>
      <rPr>
        <b/>
        <sz val="13"/>
        <color rgb="FFFF0000"/>
        <rFont val="Angsana New"/>
        <family val="1"/>
      </rPr>
      <t xml:space="preserve">งบประมาณทั้งสิ้น 400,000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</si>
  <si>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2 
</t>
    </r>
    <r>
      <rPr>
        <b/>
        <sz val="13"/>
        <color rgb="FFFF0000"/>
        <rFont val="Angsana New"/>
        <family val="1"/>
      </rPr>
      <t xml:space="preserve">งบประมาณทั้งสิ้น 1,290,000 บาท </t>
    </r>
  </si>
  <si>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สำหรับทุนวิจัย
เรื่อง ถอดบทเรียนแนวทางการแก้ไขปัญหา
เรื่องที่อยู่อาศัยและพื้นที่ทำกินของชาว
เลอูรักลาโว้ยเพื่อลดปัญหาความเหลื่อมล้ำ
ในการดำเนินชีวิตของชาวเล พื้นที่ปฏิบัติการชุมชนบ้านโต๊ะบาหลิว อำเภอเกาลันตาใหญ่ จังหวัดกระบี่ (ตามสัญญาข้อตกลงเลขที่ 65-00-1357-01 เริ่มตั้งแต่วันที่ 15 พ.ย. 65
ถึง 31 ก.ค. 66) 
</t>
    </r>
    <r>
      <rPr>
        <b/>
        <sz val="13"/>
        <color rgb="FFFF0000"/>
        <rFont val="Angsana New"/>
        <family val="1"/>
      </rPr>
      <t>งบประมาณทั้งสิ้น 174,645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</si>
  <si>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1
</t>
    </r>
    <r>
      <rPr>
        <b/>
        <sz val="13"/>
        <color rgb="FFFF0000"/>
        <rFont val="Angsana New"/>
        <family val="1"/>
      </rPr>
      <t>วงเงินตามสัญญา 508,725 บาท</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</si>
  <si>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3 
</t>
    </r>
    <r>
      <rPr>
        <b/>
        <sz val="13"/>
        <color rgb="FFFF0000"/>
        <rFont val="Angsana New"/>
        <family val="1"/>
      </rPr>
      <t xml:space="preserve">งบประมาณทั้งสิ้น 1,290,000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</si>
  <si>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4 และเงินประกันผลงาน
งวดที่ 1 - 4 
</t>
    </r>
    <r>
      <rPr>
        <b/>
        <sz val="13"/>
        <color rgb="FFFF0000"/>
        <rFont val="Angsana New"/>
        <family val="1"/>
      </rPr>
      <t xml:space="preserve">งบประมาณทั้งสิ้น 1,290,000 บาท </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</si>
  <si>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</si>
  <si>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2
</t>
    </r>
    <r>
      <rPr>
        <b/>
        <sz val="13"/>
        <color rgb="FFFF0000"/>
        <rFont val="Angsana New"/>
        <family val="1"/>
      </rPr>
      <t>วงเงินตามสัญญา 508,725 บาท</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</si>
  <si>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2
</t>
    </r>
    <r>
      <rPr>
        <b/>
        <sz val="13"/>
        <color rgb="FFFF0000"/>
        <rFont val="Angsana New"/>
        <family val="1"/>
      </rPr>
      <t xml:space="preserve">งบประมาณทั้งสิ้น 600,000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</si>
  <si>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1
</t>
    </r>
    <r>
      <rPr>
        <b/>
        <sz val="13"/>
        <color rgb="FFFF000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</si>
  <si>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3
</t>
    </r>
    <r>
      <rPr>
        <b/>
        <sz val="13"/>
        <color rgb="FFFF000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</si>
  <si>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1
</t>
    </r>
    <r>
      <rPr>
        <b/>
        <sz val="13"/>
        <color rgb="FFFF0000"/>
        <rFont val="Angsana New"/>
        <family val="1"/>
      </rPr>
      <t>วงเงินตามสัญญา 100,000 บาท</t>
    </r>
  </si>
  <si>
    <r>
      <t xml:space="preserve">ตามสัญญาเลขที่ N71B650089 ระยะเวลา 
12 เดือน โดยเริ่มตั้งแต่วันที่ 31 ม.ค.65 ถึง
30 ม.ค.66 สำหรับเงินค่าธรรมเนียมอุดหนุน
สถาบันของทุนสนับสนุนจาก เรื่อง การพัฒนา
ทักษะอาชีพการทอผ้าพื่นเมืองสำหรับกลุ่ม
สามเณรไร้ที่พึ่งพิง โรงเรียนพระปริยัติธรรม 
วัดโคกเปี้ยว ตำบลเกาะยอ อำเภอเมือง 
จังหวัดสงขลา 
</t>
    </r>
    <r>
      <rPr>
        <b/>
        <sz val="13"/>
        <color rgb="FFFF0000"/>
        <rFont val="Angsana New"/>
        <family val="1"/>
      </rPr>
      <t xml:space="preserve">งบประมาณทั้งสิ้น 550,000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</si>
  <si>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2
</t>
    </r>
    <r>
      <rPr>
        <b/>
        <sz val="13"/>
        <color rgb="FFFF0000"/>
        <rFont val="Angsana New"/>
        <family val="1"/>
      </rPr>
      <t xml:space="preserve">งบประมาณทั้งสิ้น 800,000 บาท </t>
    </r>
  </si>
  <si>
    <r>
      <t xml:space="preserve">ตามใบสั่งจ้างเลขที่ 443/2566 ได้จ้าง
สถาบันการศึกษา ระดับอุดมศึกษา สำรวจ
ความพึงพอใจของผู้รับบริการสาธารณะของ
องค์การบริหารส่วนจังหวัดสงขลา ประจำปี 
พ.ศ.2566 (กำหนดส่งมอบงานภายในวันที่ 
11 ตุลาคม 2566) 
</t>
    </r>
    <r>
      <rPr>
        <b/>
        <sz val="13"/>
        <color rgb="FFFF0000"/>
        <rFont val="Angsana New"/>
        <family val="1"/>
      </rPr>
      <t>วงเงินทั้งสิ้น 49,000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</si>
  <si>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theme="1"/>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</si>
  <si>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5</t>
    </r>
    <r>
      <rPr>
        <sz val="13"/>
        <color theme="1"/>
        <rFont val="Angsana New"/>
        <family val="1"/>
      </rPr>
      <t xml:space="preserve"> บางแก้วโมเดล ประมง
พื้นบ้านแก้จน งวดที่ 2 
</t>
    </r>
    <r>
      <rPr>
        <b/>
        <sz val="13"/>
        <color rgb="FFFF0000"/>
        <rFont val="Angsana New"/>
        <family val="1"/>
      </rPr>
      <t>วงเงินงบประมาณย่อย 1,100,000 บาท</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</si>
  <si>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3 
</t>
    </r>
    <r>
      <rPr>
        <b/>
        <sz val="13"/>
        <color rgb="FFFF0000"/>
        <rFont val="Angsana New"/>
        <family val="1"/>
      </rPr>
      <t xml:space="preserve">งบประมาณทั้งสิ้น 450,000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</si>
  <si>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3
</t>
    </r>
    <r>
      <rPr>
        <b/>
        <sz val="13"/>
        <color rgb="FFFF0000"/>
        <rFont val="Angsana New"/>
        <family val="1"/>
      </rPr>
      <t xml:space="preserve">งบประมาณทั้งสิ้น 800,000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</si>
  <si>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1
</t>
    </r>
    <r>
      <rPr>
        <b/>
        <sz val="13"/>
        <color rgb="FFFF0000"/>
        <rFont val="Angsana New"/>
        <family val="1"/>
      </rPr>
      <t>งบประมาณทั้งสิ้น 940,000.00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</si>
  <si>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</si>
  <si>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4
</t>
    </r>
    <r>
      <rPr>
        <b/>
        <sz val="13"/>
        <color rgb="FFFF000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</si>
  <si>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4 </t>
    </r>
    <r>
      <rPr>
        <b/>
        <sz val="13"/>
        <color rgb="FFFF0000"/>
        <rFont val="Angsana New"/>
        <family val="1"/>
      </rPr>
      <t>งบประมาณโครงการทั้งสิ้น 1,248,300 บ.</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</si>
  <si>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4 
</t>
    </r>
    <r>
      <rPr>
        <b/>
        <sz val="13"/>
        <color rgb="FFFF0000"/>
        <rFont val="Angsana New"/>
        <family val="1"/>
      </rPr>
      <t xml:space="preserve">งบประมาณทั้งสิ้น 450,000 บาท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</si>
  <si>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1
</t>
    </r>
    <r>
      <rPr>
        <b/>
        <sz val="13"/>
        <color rgb="FFFF0000"/>
        <rFont val="Angsana New"/>
        <family val="1"/>
      </rPr>
      <t>งบประมาณทั้งสิ้น 465,000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</si>
  <si>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1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</si>
  <si>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5 
</t>
    </r>
    <r>
      <rPr>
        <b/>
        <sz val="13"/>
        <color rgb="FFFF0000"/>
        <rFont val="Angsana New"/>
        <family val="1"/>
      </rPr>
      <t xml:space="preserve">งบประมาณทั้งสิ้น 450,000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</si>
  <si>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2
</t>
    </r>
    <r>
      <rPr>
        <b/>
        <sz val="13"/>
        <color rgb="FFFF0000"/>
        <rFont val="Angsana New"/>
        <family val="1"/>
      </rPr>
      <t>งบประมาณทั้งสิ้น 940,000.00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</si>
  <si>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2</t>
    </r>
    <r>
      <rPr>
        <sz val="13"/>
        <color theme="1"/>
        <rFont val="Angsana New"/>
        <family val="1"/>
      </rPr>
      <t xml:space="preserve"> การยกระดับรายได้คนจน
อำเภอควนขนุน จังหวัดพัทลุง ด้วยโมเดล 
อำเภอกระจูดแก้จน งวดที่ 3
</t>
    </r>
    <r>
      <rPr>
        <b/>
        <sz val="13"/>
        <color rgb="FFFF0000"/>
        <rFont val="Angsana New"/>
        <family val="1"/>
      </rPr>
      <t>งบประมาณทั้งสิ้น 1,665,364 บาท</t>
    </r>
    <r>
      <rPr>
        <sz val="13"/>
        <color theme="1"/>
        <rFont val="Angsana New"/>
        <family val="1"/>
      </rPr>
      <t xml:space="preserve"> </t>
    </r>
  </si>
  <si>
    <r>
      <t xml:space="preserve">ตามสัญญาเลขที่ N41A670800 สัญญาให้
ทุนอุดหนุนการวิจัยและนวัตกรรม ภายใต้
งานวิจัยเรื่อง สมการทำนายค่าระดับน้ำตาล
สะสมในเลือดสำหรับผู้ป่วยเบาหวานที่
ควบคุมไม่ได้  งวดที่ 1
</t>
    </r>
    <r>
      <rPr>
        <b/>
        <sz val="13"/>
        <color rgb="FFFF0000"/>
        <rFont val="Angsana New"/>
        <family val="1"/>
      </rPr>
      <t>วงเงินงบประมาณทั่งสิ้น 134,000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ตามประกาศสำนักงาน
การวิจัยแห่งชาติ เรื่อง การรับข้อเสนอ
การวิจัยและนวัตกรรมทุนพัฒนานักวิจัย
ระดับบัณฑิตศึกษา ประจำปีงบประมาณ 
2567 ข้อที่ 4.2 งบสนับสนุนโครงการวิจัย 
สถาบันอุดมศึกษาต้นสังกัดของนักศึกษา
ผู้รับทุนต้องไม่หักเงินทุนจากโครงการเป็น
ค่าใข้จ่ายทางอ้อม</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</si>
  <si>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1</t>
    </r>
    <r>
      <rPr>
        <sz val="13"/>
        <color theme="1"/>
        <rFont val="Angsana New"/>
        <family val="1"/>
      </rPr>
      <t xml:space="preserve"> โมเดลแก้จนสวัสดิการ
ชุมชนเกื้อกูล:คนเมืองลุงไม่ทอดทิ้งกัน งวดที่ 3
</t>
    </r>
    <r>
      <rPr>
        <b/>
        <sz val="13"/>
        <color rgb="FFFF0000"/>
        <rFont val="Angsana New"/>
        <family val="1"/>
      </rPr>
      <t>งบประมาณทั้งสิ้น 2,237,799 บาท</t>
    </r>
    <r>
      <rPr>
        <sz val="13"/>
        <color theme="1"/>
        <rFont val="Angsana New"/>
        <family val="1"/>
      </rPr>
      <t xml:space="preserve">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</si>
  <si>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1
</t>
    </r>
    <r>
      <rPr>
        <b/>
        <sz val="13"/>
        <color rgb="FFFF0000"/>
        <rFont val="Angsana New"/>
        <family val="1"/>
      </rPr>
      <t xml:space="preserve">วงเงินงบประมาณทั่งสิ้น 934,500 บาท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</si>
  <si>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4
</t>
    </r>
    <r>
      <rPr>
        <b/>
        <sz val="13"/>
        <color rgb="FFFF0000"/>
        <rFont val="Angsana New"/>
        <family val="1"/>
      </rPr>
      <t xml:space="preserve">วงเงินทั้งสิ้น 420,000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</si>
  <si>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1</t>
    </r>
    <r>
      <rPr>
        <sz val="13"/>
        <color theme="1"/>
        <rFont val="Angsana New"/>
        <family val="1"/>
      </rPr>
      <t xml:space="preserve"> การพัฒนานวัตกรรม
การเลี้ยงปลาดุกลูกผสมเพื่อผลิตเป็นวัตถุดิบ
สำหรับแปรรูปผลิตภัณฑ์ปลาดุกร้า งวดที่ 2
</t>
    </r>
    <r>
      <rPr>
        <b/>
        <sz val="13"/>
        <color rgb="FFFF0000"/>
        <rFont val="Angsana New"/>
        <family val="1"/>
      </rPr>
      <t>วงเงินงบประมาณย่อย 682,000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</si>
  <si>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2
</t>
    </r>
    <r>
      <rPr>
        <b/>
        <sz val="13"/>
        <color rgb="FFFF0000"/>
        <rFont val="Angsana New"/>
        <family val="1"/>
      </rPr>
      <t xml:space="preserve">งบประมาณทั้งสิ้น 580,000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</si>
  <si>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2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</si>
  <si>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2 
</t>
    </r>
    <r>
      <rPr>
        <b/>
        <sz val="13"/>
        <color rgb="FFFF0000"/>
        <rFont val="Angsana New"/>
        <family val="1"/>
      </rPr>
      <t xml:space="preserve">งบประมาณทั้งสิ้น 250,000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</si>
  <si>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3
</t>
    </r>
    <r>
      <rPr>
        <b/>
        <sz val="13"/>
        <color rgb="FFFF0000"/>
        <rFont val="Angsana New"/>
        <family val="1"/>
      </rPr>
      <t>งบประมาณทั้งสิ้น 400,000 บาท</t>
    </r>
    <r>
      <rPr>
        <sz val="13"/>
        <color theme="1"/>
        <rFont val="Angsana New"/>
        <family val="1"/>
      </rPr>
      <t xml:space="preserve"> </t>
    </r>
  </si>
  <si>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rgb="FFFF0000"/>
        <rFont val="Angsana New"/>
        <family val="1"/>
      </rPr>
      <t>วงเงินงบประมาณทั้งสิ้น 35,000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</si>
  <si>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</si>
  <si>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8</t>
    </r>
    <r>
      <rPr>
        <sz val="13"/>
        <color theme="1"/>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2
</t>
    </r>
    <r>
      <rPr>
        <b/>
        <sz val="13"/>
        <color rgb="FFFF0000"/>
        <rFont val="Angsana New"/>
        <family val="1"/>
      </rPr>
      <t>วงเงินงบประมาณย่อย 1,000,000 บาท</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</si>
  <si>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2</t>
    </r>
    <r>
      <rPr>
        <b/>
        <sz val="13"/>
        <color rgb="FFFF000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</si>
  <si>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2
</t>
    </r>
    <r>
      <rPr>
        <b/>
        <sz val="13"/>
        <color rgb="FFFF0000"/>
        <rFont val="Angsana New"/>
        <family val="1"/>
      </rPr>
      <t>งบประมาณทั้งสิ้น 600,000.00 บาท</t>
    </r>
    <r>
      <rPr>
        <sz val="13"/>
        <color theme="1"/>
        <rFont val="Angsana New"/>
        <family val="1"/>
      </rPr>
      <t xml:space="preserve">
</t>
    </r>
    <r>
      <rPr>
        <b/>
        <sz val="13"/>
        <color rgb="FFFF000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</si>
  <si>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4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</si>
  <si>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3
</t>
    </r>
    <r>
      <rPr>
        <b/>
        <sz val="13"/>
        <color rgb="FFFF0000"/>
        <rFont val="Angsana New"/>
        <family val="1"/>
      </rPr>
      <t xml:space="preserve">งบประมาณทั้งสิ้น 580,000 บาท </t>
    </r>
  </si>
  <si>
    <r>
      <t xml:space="preserve">เงินสนับสนุนการวิจัย เรื่อง Effects of commercial enzymes supplement on 
growth performances, feed utilizations, nutrients digestibilty in Nile tilapia and 
nutrient loading (P&amp;N) into the water 
งวดที่ 1
</t>
    </r>
    <r>
      <rPr>
        <b/>
        <sz val="13"/>
        <color rgb="FFFF0000"/>
        <rFont val="Angsana New"/>
        <family val="1"/>
      </rPr>
      <t xml:space="preserve">งบประมาณทั้งสิ้น 10,990 USD </t>
    </r>
  </si>
  <si>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2 
</t>
    </r>
    <r>
      <rPr>
        <b/>
        <sz val="13"/>
        <color rgb="FFFF0000"/>
        <rFont val="Angsana New"/>
        <family val="1"/>
      </rPr>
      <t xml:space="preserve">งบประมาณทั้งสิ้น 450,000 บาท </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</si>
  <si>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1 
</t>
    </r>
    <r>
      <rPr>
        <b/>
        <sz val="13"/>
        <color rgb="FFFF0000"/>
        <rFont val="Angsana New"/>
        <family val="1"/>
      </rPr>
      <t xml:space="preserve">วงเงินงบประมาณทั่งสิ้น 604,000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</si>
  <si>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1
</t>
    </r>
    <r>
      <rPr>
        <b/>
        <sz val="13"/>
        <color rgb="FFFF0000"/>
        <rFont val="Angsana New"/>
        <family val="1"/>
      </rPr>
      <t xml:space="preserve">งบประมาณทั้งสิ้น 700,000 บาท </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</si>
  <si>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1
</t>
    </r>
    <r>
      <rPr>
        <b/>
        <sz val="13"/>
        <color rgb="FFFF0000"/>
        <rFont val="Angsana New"/>
        <family val="1"/>
      </rPr>
      <t xml:space="preserve">งบประมาณทั้งสิ้น 650,000 บาท </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</si>
  <si>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1
</t>
    </r>
    <r>
      <rPr>
        <b/>
        <sz val="13"/>
        <color rgb="FFFF0000"/>
        <rFont val="Angsana New"/>
        <family val="1"/>
      </rPr>
      <t>งบประมาณทั้งสิ้น 700,000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</si>
  <si>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2
</t>
    </r>
    <r>
      <rPr>
        <b/>
        <sz val="13"/>
        <color rgb="FFFF000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</si>
  <si>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4
</t>
    </r>
    <r>
      <rPr>
        <b/>
        <sz val="13"/>
        <color rgb="FFFF0000"/>
        <rFont val="Angsana New"/>
        <family val="1"/>
      </rPr>
      <t xml:space="preserve">งบประมาณทั้งสิ้น 580,000 บาท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</si>
  <si>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2 
</t>
    </r>
    <r>
      <rPr>
        <b/>
        <sz val="13"/>
        <color rgb="FFFF0000"/>
        <rFont val="Angsana New"/>
        <family val="1"/>
      </rPr>
      <t xml:space="preserve">งบประมาณทั้งสิ้น 50,000 บาท </t>
    </r>
  </si>
  <si>
    <r>
      <t xml:space="preserve">เงินสนับสนุนการวิจัย เรื่อง Effects of
Lucantin Pink NXT on Pigmentation Growth Performance and Survival of L. vannamei  </t>
    </r>
    <r>
      <rPr>
        <b/>
        <sz val="13"/>
        <color rgb="FFFF0000"/>
        <rFont val="Angsana New"/>
        <family val="1"/>
      </rPr>
      <t>งบประมาณทั้งสิ้น 981,000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</si>
  <si>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1
</t>
    </r>
    <r>
      <rPr>
        <b/>
        <sz val="13"/>
        <color rgb="FFFF0000"/>
        <rFont val="Angsana New"/>
        <family val="1"/>
      </rPr>
      <t>งบประมาณทั้งสิ้น 893,178 บาท</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</si>
  <si>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2
</t>
    </r>
    <r>
      <rPr>
        <b/>
        <sz val="13"/>
        <color rgb="FFFF0000"/>
        <rFont val="Angsana New"/>
        <family val="1"/>
      </rPr>
      <t xml:space="preserve">วงเงินงบประมาณทั่งสิ้น 604,000 บาท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</si>
  <si>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5
</t>
    </r>
    <r>
      <rPr>
        <b/>
        <sz val="13"/>
        <color rgb="FFFF0000"/>
        <rFont val="Angsana New"/>
        <family val="1"/>
      </rPr>
      <t xml:space="preserve">งบประมาณทั้งสิ้น 580,000 บาท </t>
    </r>
  </si>
  <si>
    <t>PR2-2567:41/31</t>
  </si>
  <si>
    <t>RV00021000067080064</t>
  </si>
  <si>
    <t>ผศ.ดร.ธนพล อยู่เย็น</t>
  </si>
  <si>
    <t xml:space="preserve">บริษัทสงขลามารีนโปรดักส์ 
จำกัด </t>
  </si>
  <si>
    <r>
      <t xml:space="preserve">ตามข้อตกการสนับสนุนทุนจากงบประมาณ
เงินรายได้ กองทุนวิจัยมหาวิทยาลัยทักษิณ 
ประจำปีงบประมาณ 2567 เลขที่ 
TSU67-ECO001 ตามสัญญาระบุการร่วม
ทุนวิจัย ภายใต้โครงการวิจัย เรื่อง การศึกษา
สัดส่วนที่เหมาะสมของผลิตภัณฑ์จากโรงงาน
ปลาบ่นมาใช้ในการเลี้ยงปลาชะโอน 
</t>
    </r>
    <r>
      <rPr>
        <b/>
        <sz val="13"/>
        <color rgb="FFFF0000"/>
        <rFont val="Angsana New"/>
        <family val="1"/>
      </rPr>
      <t>งบประมาณทั้งสิ้น 80,000 บาท 
สนับสนุนโดยผู้ร่วมทุน 10,000 บาท</t>
    </r>
  </si>
  <si>
    <t>28/08/2567</t>
  </si>
  <si>
    <t>PR2-2567:44/16</t>
  </si>
  <si>
    <t>RV00021000067080365</t>
  </si>
  <si>
    <t>บริษัท บุญเกษม ร่วมค้า จำกัด</t>
  </si>
  <si>
    <r>
      <t xml:space="preserve">ตามสัญญาสนับสนุนการวิจัย เรื่อง Evaluation 
of the Pharmacological Effects of 
Supercritical Carbon Dioxide Extraction of 
THC and CBD from Cannabis on 
Parkinson's Disease in a Cell Culture 
Model  งวดที่  1
</t>
    </r>
    <r>
      <rPr>
        <b/>
        <sz val="13"/>
        <color rgb="FFFF0000"/>
        <rFont val="Angsana New"/>
        <family val="1"/>
      </rPr>
      <t xml:space="preserve">วงเงินงบประมาณ 6,000,000 บาท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</si>
  <si>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2</t>
    </r>
    <r>
      <rPr>
        <b/>
        <sz val="13"/>
        <color rgb="FFFF000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</si>
  <si>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4 </t>
    </r>
    <r>
      <rPr>
        <b/>
        <sz val="13"/>
        <color rgb="FFFF000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</si>
  <si>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4
</t>
    </r>
    <r>
      <rPr>
        <b/>
        <sz val="13"/>
        <color rgb="FFFF0000"/>
        <rFont val="Angsana New"/>
        <family val="1"/>
      </rPr>
      <t>งบประมาณโครงการทั้งสิ้น 844,200 บาท</t>
    </r>
  </si>
  <si>
    <t>PR2-2567:41/30</t>
  </si>
  <si>
    <t>RV00021000067080063</t>
  </si>
  <si>
    <t>บริษัทพัทลุงพาราเท็กซ์ 
จำกัด</t>
  </si>
  <si>
    <r>
      <t xml:space="preserve">ตามข้อตกการสนับสนุนทุนจากงบประมาณ
เงินรายได้ กองทุนวิจัยมหาวิทยาลัยทักษิณ 
ประจำปีงบประมาณ 2567 เลขที่ 
TSU67-ECO003 ตามสัญญาระบุการร่วม
ทุนวิจัย ภายใต้โครงการวิจัย เรื่อง การใช้
ประโยชน์จากของเสียจากอุตสาหกรรม
น้ำยางข้นเพื่อเป็นวัสดุนำไฟฟ้า 
</t>
    </r>
    <r>
      <rPr>
        <b/>
        <sz val="13"/>
        <color rgb="FFFF0000"/>
        <rFont val="Angsana New"/>
        <family val="1"/>
      </rPr>
      <t>งบประมาณทั้งสิ้น 90,000 บาท 
สนับสนุนโดยผู้ร่วมทุน 10,000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</si>
  <si>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2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</si>
  <si>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3
</t>
    </r>
    <r>
      <rPr>
        <b/>
        <sz val="13"/>
        <color rgb="FFFF0000"/>
        <rFont val="Angsana New"/>
        <family val="1"/>
      </rPr>
      <t xml:space="preserve">งบประมาณทั้งสิ้น 600,000 บาท </t>
    </r>
  </si>
  <si>
    <r>
      <t xml:space="preserve">ตามสัญญาเลขที่ SG0011.23 สนับสนุน
การวิจัยภายใต้โครงการครุศึกษายุคใหม่ 
หรือ Thailand Strengthening Teacher Education Programmen(T-STEP) งวดที่ 1
</t>
    </r>
    <r>
      <rPr>
        <b/>
        <sz val="13"/>
        <color rgb="FFFF0000"/>
        <rFont val="Angsana New"/>
        <family val="1"/>
      </rPr>
      <t>วงเงินงบประมาณทั้งสิ้น 300,000 บาท</t>
    </r>
    <r>
      <rPr>
        <sz val="13"/>
        <color theme="1"/>
        <rFont val="Angsana New"/>
        <family val="1"/>
      </rPr>
      <t xml:space="preserve">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</si>
  <si>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1
</t>
    </r>
    <r>
      <rPr>
        <b/>
        <sz val="13"/>
        <color rgb="FFFF0000"/>
        <rFont val="Angsana New"/>
        <family val="1"/>
      </rPr>
      <t xml:space="preserve">งบประมาณทั้งสิ้น 1,000,000 บาท </t>
    </r>
  </si>
  <si>
    <r>
      <t xml:space="preserve">เงินสนับสนุนผ่านโครงการพัฒนาคุณภาพ
การศึกษาและการพัฒนาท้องถิ่นโดยมีสถาบันอุดมศึกษาเป็นพี่เลี้ยง ประจำปี 2567: 
ภายใต้โครงการการพัฒนารูปแบบการเรียน
การสอนวิชาพลศึกษาโดยใช้กิจกรรมทางกาย
บูรณาการกับกลุ่มสาระการเรียนรู้ต่าง ๆ 
ภายหลังจากสถานการณ์โควิด19 ในรูปแบบ 
PLC สู่สังคมที่ยั่งยืน ของนักเรียนระดับ
ประถมศึกษาในโรงเรียนขนาดเล็กและขนาด
กลาง เขตจังหวัดสงขลา พัทลุง และ
นครศรีธรรมราช งวดที่ 1 
</t>
    </r>
    <r>
      <rPr>
        <b/>
        <sz val="13"/>
        <color rgb="FFFF0000"/>
        <rFont val="Angsana New"/>
        <family val="1"/>
      </rPr>
      <t>งบประมาณทั้งสิ้น 200,000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</si>
  <si>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4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</si>
  <si>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5
</t>
    </r>
    <r>
      <rPr>
        <b/>
        <sz val="13"/>
        <color rgb="FFFF0000"/>
        <rFont val="Angsana New"/>
        <family val="1"/>
      </rPr>
      <t xml:space="preserve">งบประมาณทั้งสิ้น 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</si>
  <si>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1</t>
    </r>
    <r>
      <rPr>
        <sz val="13"/>
        <color theme="1"/>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</si>
  <si>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2</t>
    </r>
    <r>
      <rPr>
        <sz val="13"/>
        <color theme="1"/>
        <rFont val="Angsana New"/>
        <family val="1"/>
      </rPr>
      <t xml:space="preserve"> การพัฒนาหลักสูตร
ฐานสมรรถนะการเรียนรู้ทักษะอาชีพ โดยใช้
ชุมชนการเรียนรู้ทางวิชาชีพ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</si>
  <si>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1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</si>
  <si>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2
</t>
    </r>
    <r>
      <rPr>
        <b/>
        <sz val="13"/>
        <color rgb="FFFF000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</si>
  <si>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2</t>
    </r>
    <r>
      <rPr>
        <sz val="13"/>
        <color theme="1"/>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2
</t>
    </r>
    <r>
      <rPr>
        <b/>
        <sz val="13"/>
        <color rgb="FFFF0000"/>
        <rFont val="Angsana New"/>
        <family val="1"/>
      </rPr>
      <t>วงเงินงบประมาณย่อย 1,169,232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</si>
  <si>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2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</si>
  <si>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2
</t>
    </r>
    <r>
      <rPr>
        <b/>
        <sz val="13"/>
        <color rgb="FFFF0000"/>
        <rFont val="Angsana New"/>
        <family val="1"/>
      </rPr>
      <t>วงเงินงบประมาณย่อย 1,000,000 บาท</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</si>
  <si>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2</t>
    </r>
    <r>
      <rPr>
        <b/>
        <sz val="13"/>
        <color rgb="FFFF0000"/>
        <rFont val="Angsana New"/>
        <family val="1"/>
      </rPr>
      <t xml:space="preserve">งบประมาณทั้งสิ้น 500,000 บาท </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</si>
  <si>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3
</t>
    </r>
    <r>
      <rPr>
        <b/>
        <sz val="13"/>
        <color rgb="FF0000CC"/>
        <rFont val="Angsana New"/>
        <family val="1"/>
      </rPr>
      <t xml:space="preserve">หมายเหตุ : ในงวดที่ 3 มีการหักค่าปรับ
จากการส่งมอบงานเกินระยะเวลาตาม
สัญญาเป็นเงิน 16,000 บาท คงเหลือโอนเงินงวดเพียง 234,000 บาท
</t>
    </r>
    <r>
      <rPr>
        <b/>
        <sz val="13"/>
        <color rgb="FFFF0000"/>
        <rFont val="Angsana New"/>
        <family val="1"/>
      </rPr>
      <t xml:space="preserve">งบประมาณทั้งสิ้น 500,000 บาท </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</si>
  <si>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3-4</t>
    </r>
    <r>
      <rPr>
        <b/>
        <sz val="13"/>
        <color rgb="FFFF0000"/>
        <rFont val="Angsana New"/>
        <family val="1"/>
      </rPr>
      <t xml:space="preserve">งบประมาณทั้งสิ้น 500,000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</si>
  <si>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2
</t>
    </r>
    <r>
      <rPr>
        <b/>
        <sz val="13"/>
        <color rgb="FFFF0000"/>
        <rFont val="Angsana New"/>
        <family val="1"/>
      </rPr>
      <t>งบประมาณทั้งสิ้น 21,000,000 บาท</t>
    </r>
    <r>
      <rPr>
        <sz val="13"/>
        <color theme="1"/>
        <rFont val="Angsana New"/>
        <family val="1"/>
      </rPr>
      <t xml:space="preserve"> </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</si>
  <si>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2 
</t>
    </r>
    <r>
      <rPr>
        <b/>
        <sz val="13"/>
        <color rgb="FFFF0000"/>
        <rFont val="Angsana New"/>
        <family val="1"/>
      </rPr>
      <t>งบประมาณทั้งสิ้น 2,000,000 บาท</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</si>
  <si>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</si>
  <si>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theme="1"/>
        <rFont val="Angsana New"/>
        <family val="1"/>
      </rPr>
      <t>(งบประมาณทั้งสิ้น 8,500,000 บาท)</t>
    </r>
    <r>
      <rPr>
        <sz val="13"/>
        <color theme="1"/>
        <rFont val="Angsana New"/>
        <family val="1"/>
      </rPr>
      <t xml:space="preserve"> 
โดยแบ่งเป็นโครงการบริหารจัดการเพื่อแก้ไข
ปัญหาความยากจนระดับจังหวัดพัทลุง งวดที่ 3
</t>
    </r>
    <r>
      <rPr>
        <b/>
        <sz val="13"/>
        <color rgb="FFFF0000"/>
        <rFont val="Angsana New"/>
        <family val="1"/>
      </rPr>
      <t>งบประมาณทั้งสิ้น 3,066,837 บาท</t>
    </r>
    <r>
      <rPr>
        <sz val="13"/>
        <color theme="1"/>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</si>
  <si>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2 
</t>
    </r>
    <r>
      <rPr>
        <b/>
        <sz val="13"/>
        <color rgb="FFFF0000"/>
        <rFont val="Angsana New"/>
        <family val="1"/>
      </rPr>
      <t>งบประมาณทั้งสิ้น 500,000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</si>
  <si>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6</t>
    </r>
    <r>
      <rPr>
        <sz val="13"/>
        <color theme="1"/>
        <rFont val="Angsana New"/>
        <family val="1"/>
      </rPr>
      <t xml:space="preserve"> แพลนต์เบสฟู๊ดปันสุข 
กงหรา งวดที่ 2
</t>
    </r>
    <r>
      <rPr>
        <b/>
        <sz val="13"/>
        <color rgb="FFFF000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</si>
  <si>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1 
</t>
    </r>
    <r>
      <rPr>
        <b/>
        <sz val="13"/>
        <color rgb="FFFF0000"/>
        <rFont val="Angsana New"/>
        <family val="1"/>
      </rPr>
      <t xml:space="preserve">งบประมาณทั้งสิ้น 10,000,000.00 บาท </t>
    </r>
  </si>
  <si>
    <t>ประจำปีงบประมาณ พ.ศ. 2564   ตั้งแต่วันที่  1  ตุลาคม 2564  ถึงวันที่ 30 กันยายน 2565</t>
  </si>
  <si>
    <t>สรุปรายได้เพื่อการวิจัยจากแหล่งทุนภายนอก</t>
  </si>
  <si>
    <r>
      <rPr>
        <b/>
        <u/>
        <sz val="13"/>
        <color theme="1"/>
        <rFont val="Angsana New"/>
        <family val="1"/>
      </rPr>
      <t>ยกเว้น</t>
    </r>
    <r>
      <rPr>
        <b/>
        <sz val="13"/>
        <color theme="1"/>
        <rFont val="Angsana New"/>
        <family val="1"/>
      </rPr>
      <t xml:space="preserve">
ค่าธรรมเนียม
การวิจัย</t>
    </r>
  </si>
  <si>
    <t>ประจำปีงบประมาณ พ.ศ. 2567   ตั้งแต่วันที่  1  ตุลาคม  2566  ถึงวันที่  30  กันยายน  2567</t>
  </si>
  <si>
    <t>คณะสหวิทยาการและ
การประกอบการ</t>
  </si>
  <si>
    <t>05/09/2567</t>
  </si>
  <si>
    <t>PR2-2567:44/45</t>
  </si>
  <si>
    <t>RV00021000067090048</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</si>
  <si>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3</t>
    </r>
    <r>
      <rPr>
        <sz val="13"/>
        <color theme="1"/>
        <rFont val="Angsana New"/>
        <family val="1"/>
      </rPr>
      <t xml:space="preserve">  พริกขาวชัยบุรี พืช
คู่เคียงคนจน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</si>
  <si>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4</t>
    </r>
    <r>
      <rPr>
        <sz val="13"/>
        <color theme="1"/>
        <rFont val="Angsana New"/>
        <family val="1"/>
      </rPr>
      <t xml:space="preserve">  เหลียงใบใหญ่โมเดล
แก้จน คนศรีนครินทร์ งวดที่ 1
</t>
    </r>
    <r>
      <rPr>
        <b/>
        <sz val="13"/>
        <color rgb="FFFF0000"/>
        <rFont val="Angsana New"/>
        <family val="1"/>
      </rPr>
      <t>งบประมาณทั้งสิ้น 1,270,000 บาท</t>
    </r>
    <r>
      <rPr>
        <sz val="13"/>
        <color theme="1"/>
        <rFont val="Angsana New"/>
        <family val="1"/>
      </rPr>
      <t xml:space="preserve"> </t>
    </r>
  </si>
  <si>
    <t>13/09/2567</t>
  </si>
  <si>
    <t>PR2-2567:46/17</t>
  </si>
  <si>
    <t>RV00021000067090235</t>
  </si>
  <si>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3
</t>
    </r>
    <r>
      <rPr>
        <b/>
        <sz val="13"/>
        <color rgb="FFFF0000"/>
        <rFont val="Angsana New"/>
        <family val="1"/>
      </rPr>
      <t>วงเงินตามสัญญา 508,725 บาท</t>
    </r>
  </si>
  <si>
    <t>30/09/2567</t>
  </si>
  <si>
    <t>PR2-2567:48/14</t>
  </si>
  <si>
    <t>RV00021000067090470</t>
  </si>
  <si>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2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</si>
  <si>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1</t>
    </r>
    <r>
      <rPr>
        <sz val="13"/>
        <color theme="1"/>
        <rFont val="Angsana New"/>
        <family val="1"/>
      </rPr>
      <t xml:space="preserve"> อุตสาหกรรมสร้างสรรค์
งานคราฟกระจูด อำเภอควนขนุน จังหวัด
พัทลุง งวดที่ 1
</t>
    </r>
    <r>
      <rPr>
        <b/>
        <sz val="13"/>
        <color rgb="FFFF0000"/>
        <rFont val="Angsana New"/>
        <family val="1"/>
      </rPr>
      <t>งบประมาณทั้งสิ้น 2,000,000 บาท</t>
    </r>
    <r>
      <rPr>
        <sz val="13"/>
        <color theme="1"/>
        <rFont val="Angsana New"/>
        <family val="1"/>
      </rPr>
      <t xml:space="preserve"> </t>
    </r>
  </si>
  <si>
    <t>ดร.วราภรณ์ ทนงศักดิ์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</si>
  <si>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5</t>
    </r>
    <r>
      <rPr>
        <b/>
        <sz val="13"/>
        <color theme="1"/>
        <rFont val="Angsana New"/>
        <family val="1"/>
      </rPr>
      <t xml:space="preserve"> </t>
    </r>
    <r>
      <rPr>
        <sz val="13"/>
        <color theme="1"/>
        <rFont val="Angsana New"/>
        <family val="1"/>
      </rPr>
      <t xml:space="preserve">บางแก้วโมเดล ประมง
พื้นบ้านแก้จน งวดที่ 1
</t>
    </r>
    <r>
      <rPr>
        <b/>
        <sz val="13"/>
        <color rgb="FFFF0000"/>
        <rFont val="Angsana New"/>
        <family val="1"/>
      </rPr>
      <t>งบประมาณทั้งสิ้น 1,000,000 บาท</t>
    </r>
  </si>
  <si>
    <t>หักส่งงวดสุดท้าย</t>
  </si>
  <si>
    <t>17/09/2567</t>
  </si>
  <si>
    <t>PR2-2567:46/33</t>
  </si>
  <si>
    <t>RV00021000067090276</t>
  </si>
  <si>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2
</t>
    </r>
    <r>
      <rPr>
        <b/>
        <sz val="13"/>
        <color rgb="FFFF0000"/>
        <rFont val="Angsana New"/>
        <family val="1"/>
      </rPr>
      <t>วงเงินงบประมาณทั่งสิ้น 500,000 บาท</t>
    </r>
    <r>
      <rPr>
        <sz val="13"/>
        <color theme="1"/>
        <rFont val="Angsana New"/>
        <family val="1"/>
      </rPr>
      <t xml:space="preserve"> </t>
    </r>
  </si>
  <si>
    <t>20/09/2567</t>
  </si>
  <si>
    <t>PR2-2567:47/12</t>
  </si>
  <si>
    <t>RV00021000067090335</t>
  </si>
  <si>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1</t>
    </r>
    <r>
      <rPr>
        <b/>
        <sz val="13"/>
        <color rgb="FFFF0000"/>
        <rFont val="Angsana New"/>
        <family val="1"/>
      </rPr>
      <t>งบประมาณทั้งสิ้น 1,200,00 บาท</t>
    </r>
    <r>
      <rPr>
        <sz val="13"/>
        <color theme="1"/>
        <rFont val="Angsana New"/>
        <family val="1"/>
      </rPr>
      <t xml:space="preserve"> </t>
    </r>
  </si>
  <si>
    <t>PR2-2567:47/11</t>
  </si>
  <si>
    <t>RV00021000067090336</t>
  </si>
  <si>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4
</t>
    </r>
    <r>
      <rPr>
        <b/>
        <sz val="13"/>
        <color rgb="FFFF0000"/>
        <rFont val="Angsana New"/>
        <family val="1"/>
      </rPr>
      <t xml:space="preserve">งบประมาณทั้งสิ้น 800,000 บาท </t>
    </r>
  </si>
  <si>
    <t>PR2-2567:48/13</t>
  </si>
  <si>
    <t>RV00021000067090468</t>
  </si>
  <si>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2
</t>
    </r>
    <r>
      <rPr>
        <b/>
        <sz val="13"/>
        <color rgb="FFFF0000"/>
        <rFont val="Angsana New"/>
        <family val="1"/>
      </rPr>
      <t>งบประมาณทั้งสิ้น 465,000 บาท</t>
    </r>
  </si>
  <si>
    <t>PR2-2567:44/43</t>
  </si>
  <si>
    <t>RV00021000067090046</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</si>
  <si>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2
</t>
    </r>
    <r>
      <rPr>
        <b/>
        <sz val="13"/>
        <color rgb="FFFF0000"/>
        <rFont val="Angsana New"/>
        <family val="1"/>
      </rPr>
      <t>วงเงินงบประมาณทั้งสิ้น 9,888,000 บาท</t>
    </r>
  </si>
  <si>
    <t>PR2-2567:44/44</t>
  </si>
  <si>
    <t>RV00021000067090047</t>
  </si>
  <si>
    <t>สำนักงานกองทุนสนับสนุน
การสร้างเสริมสุขภาพ</t>
  </si>
  <si>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2
</t>
    </r>
    <r>
      <rPr>
        <b/>
        <sz val="13"/>
        <color rgb="FFFF0000"/>
        <rFont val="Angsana New"/>
        <family val="1"/>
      </rPr>
      <t xml:space="preserve">วงเงินงบประมาณทั้งสิ้น 1,700,000 บาท </t>
    </r>
  </si>
  <si>
    <t>PR2-2567:19/16</t>
  </si>
  <si>
    <t>PR2-2567:44/42</t>
  </si>
  <si>
    <t>RV00021000067090045</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</si>
  <si>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2
</t>
    </r>
    <r>
      <rPr>
        <b/>
        <sz val="13"/>
        <color rgb="FFFF0000"/>
        <rFont val="Angsana New"/>
        <family val="1"/>
      </rPr>
      <t>งบประมาณทั้งสิ้น 700,000 บาท</t>
    </r>
  </si>
  <si>
    <t>ดร.ทิพย์ทิวา สัมพันธมิตร</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</si>
  <si>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ปีที่ 2 งวดที่ 1
</t>
    </r>
    <r>
      <rPr>
        <b/>
        <sz val="13"/>
        <color rgb="FFFF0000"/>
        <rFont val="Angsana New"/>
        <family val="1"/>
      </rPr>
      <t>งบประมาณทั้งสิ้น 2,160,000 บาท</t>
    </r>
  </si>
  <si>
    <t>10/09/2567</t>
  </si>
  <si>
    <t>PR2-2567:45/22</t>
  </si>
  <si>
    <t>RV00021000067090142</t>
  </si>
  <si>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1
</t>
    </r>
    <r>
      <rPr>
        <b/>
        <sz val="13"/>
        <color rgb="FFFF0000"/>
        <rFont val="Angsana New"/>
        <family val="1"/>
      </rPr>
      <t>งบประมาณทั้งสิ้น 120,000 บาท</t>
    </r>
  </si>
  <si>
    <t>PR2-2567:45/23</t>
  </si>
  <si>
    <t>RV00021000067090143</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</si>
  <si>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3
</t>
    </r>
    <r>
      <rPr>
        <b/>
        <sz val="13"/>
        <color rgb="FFFF0000"/>
        <rFont val="Angsana New"/>
        <family val="1"/>
      </rPr>
      <t>งบประมาณทั้งสิ้น 450,000 บาท</t>
    </r>
  </si>
  <si>
    <t>12/09/2567</t>
  </si>
  <si>
    <t>PR2-2567:46/11</t>
  </si>
  <si>
    <t>RV00021000067090206</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</si>
  <si>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2
</t>
    </r>
    <r>
      <rPr>
        <b/>
        <sz val="13"/>
        <color rgb="FFFF0000"/>
        <rFont val="Angsana New"/>
        <family val="1"/>
      </rPr>
      <t xml:space="preserve">งบประมาณทั้งสิ้น 700,000 บาท </t>
    </r>
  </si>
  <si>
    <t>PR2-2567:46/32</t>
  </si>
  <si>
    <t>RV00021000067090275</t>
  </si>
  <si>
    <t xml:space="preserve">สำนักงานสภานโยบาย
การอุดมศึกษา 
วิทยาศาสตร์ วิจัยและ
นวัตกรรมแห่งชาติ </t>
  </si>
  <si>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1</t>
    </r>
    <r>
      <rPr>
        <sz val="13"/>
        <color theme="1"/>
        <rFont val="Angsana New"/>
        <family val="1"/>
      </rPr>
      <t xml:space="preserve"> พัฒนารูปแบบและ
กลไกการจัดการทรัพยากรสัตว์น้ำเพื่อการ
เรียนรู้อย่างยั่งยืนของคนทุกช่วง งวดที่ 1
</t>
    </r>
    <r>
      <rPr>
        <b/>
        <sz val="13"/>
        <color rgb="FFFF0000"/>
        <rFont val="Angsana New"/>
        <family val="1"/>
      </rPr>
      <t>งบประมาณ 870,000 บาท</t>
    </r>
  </si>
  <si>
    <t>PR2-2567:48/17</t>
  </si>
  <si>
    <t>RV00021000067090497</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</si>
  <si>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3 - งวดที่ 5
</t>
    </r>
    <r>
      <rPr>
        <b/>
        <sz val="13"/>
        <color rgb="FFFF0000"/>
        <rFont val="Angsana New"/>
        <family val="1"/>
      </rPr>
      <t xml:space="preserve">งบประมาณทั้งสิ้น 450,000 บาท </t>
    </r>
  </si>
  <si>
    <t>ผศ.ดร.จินตนา กสินันท์</t>
  </si>
  <si>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1 (งบกลาง)
</t>
    </r>
    <r>
      <rPr>
        <b/>
        <sz val="13"/>
        <color rgb="FFFF0000"/>
        <rFont val="Angsana New"/>
        <family val="1"/>
      </rPr>
      <t>งบประมาณทั้งสิ้น 2,900,000 บาท</t>
    </r>
    <r>
      <rPr>
        <sz val="13"/>
        <color theme="1"/>
        <rFont val="Angsana New"/>
        <family val="1"/>
      </rPr>
      <t xml:space="preserve">  
</t>
    </r>
    <r>
      <rPr>
        <b/>
        <u/>
        <sz val="13"/>
        <color rgb="FFFF0000"/>
        <rFont val="Angsana New"/>
        <family val="1"/>
      </rPr>
      <t xml:space="preserve">โครงการกลางงบประมาณ 1,160,000 บ. </t>
    </r>
  </si>
  <si>
    <t>PR2-2567:48/12</t>
  </si>
  <si>
    <t>RV00021000067090469</t>
  </si>
  <si>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2
</t>
    </r>
    <r>
      <rPr>
        <b/>
        <sz val="13"/>
        <color rgb="FFFF0000"/>
        <rFont val="Angsana New"/>
        <family val="1"/>
      </rPr>
      <t xml:space="preserve">งบประมาณทั้งสิ้น 1,000,000 บาท </t>
    </r>
  </si>
  <si>
    <t>02/09/2567</t>
  </si>
  <si>
    <t>PL2-2567:5/29</t>
  </si>
  <si>
    <t>RV00021000067090007</t>
  </si>
  <si>
    <t>PL2-2567:6/11</t>
  </si>
  <si>
    <t>RV00021000067090471</t>
  </si>
  <si>
    <t>RV00021000067090480</t>
  </si>
  <si>
    <t>JV00021000067090155</t>
  </si>
  <si>
    <t>องค์กรปกครองส่วนท้องถิ่น
จำนวน 87 หน่วยงาน</t>
  </si>
  <si>
    <t>เทศบาลเมืองเขารูปช้าง
จังหวัดสงขลา</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</si>
  <si>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พ.ศ.2567</t>
  </si>
  <si>
    <t>รศ.ดร.รุ่งรวี จิตภักดี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</si>
  <si>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6</t>
    </r>
    <r>
      <rPr>
        <sz val="13"/>
        <color theme="1"/>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</si>
  <si>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7</t>
    </r>
    <r>
      <rPr>
        <sz val="13"/>
        <color theme="1"/>
        <rFont val="Angsana New"/>
        <family val="1"/>
      </rPr>
      <t xml:space="preserve">  ปลาดุกร้าแก้จนคน
เมืองลุง งวดที่ 1
</t>
    </r>
    <r>
      <rPr>
        <b/>
        <sz val="13"/>
        <color rgb="FFFF0000"/>
        <rFont val="Angsana New"/>
        <family val="1"/>
      </rPr>
      <t>งบประมาณทั้งสิ้น 1,270,000 บาท</t>
    </r>
    <r>
      <rPr>
        <sz val="13"/>
        <color theme="1"/>
        <rFont val="Angsana New"/>
        <family val="1"/>
      </rPr>
      <t xml:space="preserve"> </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</si>
  <si>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2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มีการปรับลดวงเงินเหลือ 
171,000.00 บ. ภายใต้โครงการย่อย : 
การสร้างเครือข่ายนานาชาติและ
การพัฒนากลไกการตลาดมวยไทย
เมืองลุงสู่ตลาดโลก ณ กรุงโตเกียว 
ประเทศญี่ปุ่น</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</si>
  <si>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rgb="FFFF0000"/>
        <rFont val="Angsana New"/>
        <family val="1"/>
      </rPr>
      <t>งบประมาณทั้งสิ้น 19,000,000 บาท</t>
    </r>
    <r>
      <rPr>
        <sz val="13"/>
        <color theme="1"/>
        <rFont val="Angsana New"/>
        <family val="1"/>
      </rPr>
      <t xml:space="preserve">
</t>
    </r>
    <r>
      <rPr>
        <b/>
        <u/>
        <sz val="13"/>
        <color theme="1"/>
        <rFont val="Angsana New"/>
        <family val="1"/>
      </rPr>
      <t>โครงการหลัก</t>
    </r>
    <r>
      <rPr>
        <b/>
        <sz val="13"/>
        <color theme="1"/>
        <rFont val="Angsana New"/>
        <family val="1"/>
      </rPr>
      <t xml:space="preserve"> </t>
    </r>
    <r>
      <rPr>
        <sz val="13"/>
        <color theme="1"/>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1 (งบบริหาร) 
</t>
    </r>
    <r>
      <rPr>
        <b/>
        <sz val="13"/>
        <color rgb="FFFF0000"/>
        <rFont val="Angsana New"/>
        <family val="1"/>
      </rPr>
      <t xml:space="preserve">งบประมาณบริหาร วงเงิน 7,300,000 บ. </t>
    </r>
  </si>
  <si>
    <t>PR2-2567:46/10</t>
  </si>
  <si>
    <t>RV00021000067090205</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</si>
  <si>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4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เงินงบประมาณ 200,000 บ. ภายใต้โครงการย่อย : การสร้างเครือข่ายนานาชาติและการพัฒนากลไกการตลาดมวยไทยเมืองลุงสู่ตลาดโลก ณ สถานเอกอัครราชทูตไทย ณ สิงคโปร์</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</si>
  <si>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2</t>
    </r>
    <r>
      <rPr>
        <sz val="13"/>
        <color theme="1"/>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1
</t>
    </r>
    <r>
      <rPr>
        <b/>
        <sz val="13"/>
        <color rgb="FFFF0000"/>
        <rFont val="Angsana New"/>
        <family val="1"/>
      </rPr>
      <t>งบประมาณ 870,000 บาท</t>
    </r>
    <r>
      <rPr>
        <sz val="13"/>
        <color theme="1"/>
        <rFont val="Angsana New"/>
        <family val="1"/>
      </rPr>
      <t xml:space="preserve"> </t>
    </r>
  </si>
  <si>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2565</t>
  </si>
  <si>
    <t>22/10/2567</t>
  </si>
  <si>
    <t>PR2-2568:2/19</t>
  </si>
  <si>
    <t>RV00021000068100092</t>
  </si>
  <si>
    <t>30/10/2567</t>
  </si>
  <si>
    <t>PR2-2568:3/32</t>
  </si>
  <si>
    <t>RV00021000068100187</t>
  </si>
  <si>
    <t>ประจำปีงบประมาณ พ.ศ. 2568   ตั้งแต่วันที่  1  ตุลาคม  2567  ถึงวันที่  30  กันยายน  2568</t>
  </si>
  <si>
    <t>ต.ค.67</t>
  </si>
  <si>
    <t>พ.ย.67</t>
  </si>
  <si>
    <t>ธ.ค.67</t>
  </si>
  <si>
    <t>ม.ค.68</t>
  </si>
  <si>
    <t>ก.พ.68</t>
  </si>
  <si>
    <t>มี.ค.68</t>
  </si>
  <si>
    <t>เม.ย.68</t>
  </si>
  <si>
    <t>พ.ค.68</t>
  </si>
  <si>
    <t>มิ.ย.68</t>
  </si>
  <si>
    <t>ก.ค.68</t>
  </si>
  <si>
    <t>ส.ค.68</t>
  </si>
  <si>
    <t>ก.ย.68</t>
  </si>
  <si>
    <t xml:space="preserve">ประจำปีงบประมาณ พ.ศ. 2568   </t>
  </si>
  <si>
    <t>ประจำเดือนตุลาคม 2567</t>
  </si>
  <si>
    <t>ประจำเดือนพฤศจิกายน 2567</t>
  </si>
  <si>
    <t>ประจำเดือนธันวาคม 2567</t>
  </si>
  <si>
    <t>ประจำเดือนมกราคม 2568</t>
  </si>
  <si>
    <t>ประจำเดือนกุมภาพันธ์ 2568</t>
  </si>
  <si>
    <t>ประจำเดือนมีนาคม 2568</t>
  </si>
  <si>
    <t>ประจำเดือนเมษายน 2568</t>
  </si>
  <si>
    <t>ประจำเดือนพฤษภาคม 2568</t>
  </si>
  <si>
    <t>ประจำเดือนมิถุนายน 2568</t>
  </si>
  <si>
    <t>ประจำเดือนกรกฎาคม 2568</t>
  </si>
  <si>
    <t>ประจำเดือนสิงหาคม 2568</t>
  </si>
  <si>
    <t>ประจำเดือนกันยายน 2568</t>
  </si>
  <si>
    <t>20/11/2567</t>
  </si>
  <si>
    <t>RV00021000068110229</t>
  </si>
  <si>
    <t>06/11/2567</t>
  </si>
  <si>
    <t>PR2-2568:4/43</t>
  </si>
  <si>
    <t>RV00021000068110074</t>
  </si>
  <si>
    <t>22/11/2567</t>
  </si>
  <si>
    <t>PR2-2568:8/18</t>
  </si>
  <si>
    <t>RV00021000068110258</t>
  </si>
  <si>
    <t>บริษัท แมคคาเดเมีย จำกัด</t>
  </si>
  <si>
    <t>04/11/2567</t>
  </si>
  <si>
    <t>PL2-2568:1/22</t>
  </si>
  <si>
    <t>RV00021000068110027</t>
  </si>
  <si>
    <t>21/11/2567</t>
  </si>
  <si>
    <t>PL2-2568:1/30</t>
  </si>
  <si>
    <t>RV00021000068110244</t>
  </si>
  <si>
    <t>องค์กรปกครองส่วนท้องถิ่น
จำนวน 31 หน่วยงาน</t>
  </si>
  <si>
    <t>29/11/2567</t>
  </si>
  <si>
    <t>PL2-2568:1/37</t>
  </si>
  <si>
    <t>RV00021000068110328</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</si>
  <si>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พ.ศ.2567 - 2568 </t>
  </si>
  <si>
    <t>RV00021000068110329</t>
  </si>
  <si>
    <t>องค์กรปกครองส่วนท้องถิ่น
จำนวน 8 หน่วยงาน</t>
  </si>
  <si>
    <t>06/12/2567</t>
  </si>
  <si>
    <t>PR2-2568:11/37</t>
  </si>
  <si>
    <t>RV00021000068120070</t>
  </si>
  <si>
    <t>27/12/2567</t>
  </si>
  <si>
    <t>PR2-2568:14/22</t>
  </si>
  <si>
    <t>RV00021000068120294</t>
  </si>
  <si>
    <t>02/12/2567</t>
  </si>
  <si>
    <t>PR2-2568:11/1</t>
  </si>
  <si>
    <t>RV00021000068120004</t>
  </si>
  <si>
    <t>PR2-2568:14/21</t>
  </si>
  <si>
    <t>RV00021000068120295</t>
  </si>
  <si>
    <t>PR2-2568:14/20</t>
  </si>
  <si>
    <t>RV00021000068120296</t>
  </si>
  <si>
    <t>25/12/2567</t>
  </si>
  <si>
    <t>PL2-2568:2/6</t>
  </si>
  <si>
    <t>RV00021000068120273</t>
  </si>
  <si>
    <t>13/12/2567</t>
  </si>
  <si>
    <t>PR2-2568:12/28</t>
  </si>
  <si>
    <t>RV00021000068120145</t>
  </si>
  <si>
    <t>PR2-2568:12/31</t>
  </si>
  <si>
    <t>RV00021000068120146</t>
  </si>
  <si>
    <t>30/01/2568</t>
  </si>
  <si>
    <t>PR2-2568:17/44</t>
  </si>
  <si>
    <t>RV00021000068010310</t>
  </si>
  <si>
    <t>10/01/2568</t>
  </si>
  <si>
    <t>PR2-2568:15/2</t>
  </si>
  <si>
    <t>RV00021000068010061</t>
  </si>
  <si>
    <t>หักส่งครบถ้วนแล้ว</t>
  </si>
  <si>
    <t>PR2-2568:14/50</t>
  </si>
  <si>
    <t>RV00021000068010059</t>
  </si>
  <si>
    <t>PR2-2568:15/1</t>
  </si>
  <si>
    <t>RV00021000068010060</t>
  </si>
  <si>
    <t>PR2-2568:17/43</t>
  </si>
  <si>
    <t>RV00021000068010311</t>
  </si>
  <si>
    <t>PR2-2568:17/45</t>
  </si>
  <si>
    <t>RV00021000068010309</t>
  </si>
  <si>
    <t>28/02/2568</t>
  </si>
  <si>
    <t>PR2-2568:21/23</t>
  </si>
  <si>
    <t>RV00021000068020296</t>
  </si>
  <si>
    <t>20/02/2568</t>
  </si>
  <si>
    <t>PR2-2568:20/21</t>
  </si>
  <si>
    <t>RV00021000068020189</t>
  </si>
  <si>
    <t>อ.ดร.สุตตมา สุวรรณมณี</t>
  </si>
  <si>
    <t>สำนักงานกองทุน
สนับสนุนการสร้างเสริม
สุขภาพ (สสส.)</t>
  </si>
  <si>
    <t>03/02/2568</t>
  </si>
  <si>
    <t>PR2-2568:18/13</t>
  </si>
  <si>
    <t>RV00021000068020009</t>
  </si>
  <si>
    <t>11/02/2568</t>
  </si>
  <si>
    <t>PR2-2568:18/35</t>
  </si>
  <si>
    <t>RV00021000068020048</t>
  </si>
  <si>
    <t>PR2-2568:18/36</t>
  </si>
  <si>
    <t>RV00021000068020049</t>
  </si>
  <si>
    <t>ผศ.ดร.เริงวุฒิ ชูเมือง</t>
  </si>
  <si>
    <t>บริษัทโกลด์ เมด พลัส 
เซอร์วิส จำกัด</t>
  </si>
  <si>
    <t>PR2-2568:18/12</t>
  </si>
  <si>
    <t>RV00021000068020008</t>
  </si>
  <si>
    <t>14/02/2568</t>
  </si>
  <si>
    <t>PL2-2568:2/46</t>
  </si>
  <si>
    <t>RV00021000068020096</t>
  </si>
  <si>
    <t>PR2-2568:20/22</t>
  </si>
  <si>
    <t>RV00021000068020190</t>
  </si>
  <si>
    <t>PR2-2568:21/24</t>
  </si>
  <si>
    <t>RV00021000068020295</t>
  </si>
  <si>
    <t>12/03/2568</t>
  </si>
  <si>
    <t>PR2-2568:23/3</t>
  </si>
  <si>
    <t>JV00021000068030016</t>
  </si>
  <si>
    <t>03/03/2568</t>
  </si>
  <si>
    <t>PR2-2568:21/49 
และ
 PR2-2568:21/50</t>
  </si>
  <si>
    <t>RV00021000068030016</t>
  </si>
  <si>
    <t>18/03/2568</t>
  </si>
  <si>
    <t>PR2-2568:23/15</t>
  </si>
  <si>
    <t>RV00021000068030171</t>
  </si>
  <si>
    <t>26/03/2568</t>
  </si>
  <si>
    <t>PR2-2568:25/10</t>
  </si>
  <si>
    <t>RV00021000068030291</t>
  </si>
  <si>
    <t>28/03/2568</t>
  </si>
  <si>
    <t>PR2-2568:25/44</t>
  </si>
  <si>
    <t>RV00021000068030341</t>
  </si>
  <si>
    <t>1. ผศ.วันลภ ดิษสุวรรณ์ 
    เป็นอาจารย์ที่ปรึกษา
2. นางสาวสุภาวดี สุวรรณโณ 
    เป็นนักศึกษาผู้ช่วยวิจัย</t>
  </si>
  <si>
    <t>PR2-2568:23/14</t>
  </si>
  <si>
    <t>RV00021000068030172</t>
  </si>
  <si>
    <t>PR2-2568:25/43</t>
  </si>
  <si>
    <t>RV00021000068030340</t>
  </si>
  <si>
    <t>05/03/2568</t>
  </si>
  <si>
    <t>PR2-2568:22/20</t>
  </si>
  <si>
    <t>RV00021000068030057</t>
  </si>
  <si>
    <t>ดร.วรินธร เบญจศรี</t>
  </si>
  <si>
    <t>สมาคมอาสาสร้างสุข</t>
  </si>
  <si>
    <t>ยกเว้น
ตามข้อที่
5.6.4 ตาม
ประกาศ
ทุนภายนอก
ปี 2565</t>
  </si>
  <si>
    <t>PR2-2568:22/21</t>
  </si>
  <si>
    <t>RV00021000068030058</t>
  </si>
  <si>
    <t>ดร.วัลลยา ธรรมอภิบาล อินทนิน</t>
  </si>
  <si>
    <t>PR2-2568:22/23</t>
  </si>
  <si>
    <t>RV00021000068030059</t>
  </si>
  <si>
    <t>ผศ.จิรนันท์ ชูชีพ</t>
  </si>
  <si>
    <t>PR2-2568:22/24</t>
  </si>
  <si>
    <t>RV00021000068030060</t>
  </si>
  <si>
    <t>PR2-2568:22/22</t>
  </si>
  <si>
    <t>RV00021000068030061</t>
  </si>
  <si>
    <t>รศ.ดร.จิดาภา พรยิ่ง</t>
  </si>
  <si>
    <t>PR2-2568:25/45</t>
  </si>
  <si>
    <t>RV00021000068030339</t>
  </si>
  <si>
    <t>ผศ.ดร.วิลาสินี ธนพิทักษ์</t>
  </si>
  <si>
    <t>PR2-2568:21/48</t>
  </si>
  <si>
    <t>RV00021000068030015</t>
  </si>
  <si>
    <t>PR2-2568:23/1</t>
  </si>
  <si>
    <t>RV00021000068030107
JV00021000068030016
JV00021000068030017</t>
  </si>
  <si>
    <t>นายอนุสรณ์ กะณะศิริ</t>
  </si>
  <si>
    <t xml:space="preserve">สำนักงานสหประชาชาติ
ในประเทศไทย
International Organization for Migration
</t>
  </si>
  <si>
    <t>01/04/2568</t>
  </si>
  <si>
    <t>PR2-2568:25/42</t>
  </si>
  <si>
    <t>RV00021000068040007</t>
  </si>
  <si>
    <t>10/04/2568</t>
  </si>
  <si>
    <t>PR2-2568:29/20</t>
  </si>
  <si>
    <t>RV00021000068040147</t>
  </si>
  <si>
    <t>PR2-2568:26/43</t>
  </si>
  <si>
    <t>RV00021000068040006</t>
  </si>
  <si>
    <t>PR2-2568:29/23</t>
  </si>
  <si>
    <t>RV00021000068040146</t>
  </si>
  <si>
    <t>PR2-2568:29/21</t>
  </si>
  <si>
    <t>RV00021000068040148</t>
  </si>
  <si>
    <t>สำนักงานพัฒนาการวิจัยการเกษตร 
(องค์การมหาชน)</t>
  </si>
  <si>
    <t>PR2-2568:29/22</t>
  </si>
  <si>
    <t>RV00021000068040149</t>
  </si>
  <si>
    <t>อาจารย์ ดร.พรวิชัย เต็มบุตร</t>
  </si>
  <si>
    <t>21/04/2568</t>
  </si>
  <si>
    <t>PR2-2568:30/29</t>
  </si>
  <si>
    <t>RV00021000068040225</t>
  </si>
  <si>
    <r>
      <rPr>
        <b/>
        <u/>
        <sz val="13"/>
        <rFont val="Angsana New"/>
        <family val="1"/>
      </rPr>
      <t>ยกเว้น</t>
    </r>
    <r>
      <rPr>
        <b/>
        <sz val="13"/>
        <rFont val="Angsana New"/>
        <family val="1"/>
      </rPr>
      <t xml:space="preserve">
ค่าธรรมเนียม
การวิจัย</t>
    </r>
  </si>
  <si>
    <t>15/05/2568</t>
  </si>
  <si>
    <t>PR2-2568:33/23</t>
  </si>
  <si>
    <t>RV00021000068050091</t>
  </si>
  <si>
    <t>27/05/2568</t>
  </si>
  <si>
    <t>PR2-2568:35/27</t>
  </si>
  <si>
    <t>RV00021000068050249</t>
  </si>
  <si>
    <t>02/05/2568</t>
  </si>
  <si>
    <t>PR2-2568:32/17</t>
  </si>
  <si>
    <t>RV00021000068050016</t>
  </si>
  <si>
    <t>PR2-2568:33/22</t>
  </si>
  <si>
    <t>RV00021000068050090</t>
  </si>
  <si>
    <t>PR2-2568:35/29</t>
  </si>
  <si>
    <t>RV00021000068050251</t>
  </si>
  <si>
    <t>PR2-2568:35/26</t>
  </si>
  <si>
    <t>RV00021000068050253</t>
  </si>
  <si>
    <t>PR2-2568:7/37 
และ
PR2-2568:7/38</t>
  </si>
  <si>
    <t>PR2-2568:32/15</t>
  </si>
  <si>
    <t>RV00021000068050018</t>
  </si>
  <si>
    <t>26/05/2568</t>
  </si>
  <si>
    <t>PR2-2568:35/15</t>
  </si>
  <si>
    <t>RV00021000068050236</t>
  </si>
  <si>
    <t>PR2-2568:32/19</t>
  </si>
  <si>
    <t>RV00021000068050019</t>
  </si>
  <si>
    <t>PR2-2568:35/28</t>
  </si>
  <si>
    <t>RV00021000068050250</t>
  </si>
  <si>
    <t>PR2-2568:35/30</t>
  </si>
  <si>
    <t>RV00021000068050252</t>
  </si>
  <si>
    <t>PR2-2568:32/16</t>
  </si>
  <si>
    <t>RV00021000068050017</t>
  </si>
  <si>
    <t>ผศ.ดร.ภพเอกอัคร อินทรโม</t>
  </si>
  <si>
    <t>PR2-2568:32/18</t>
  </si>
  <si>
    <t>RV00021000068050020</t>
  </si>
  <si>
    <t>ดำเนินการภายใต้สถาบันวิจัยและนวัตกรรม ทำหน้าที่หัวหน้าชุดงานวิจัย</t>
  </si>
  <si>
    <t>PR2-2568:35/16</t>
  </si>
  <si>
    <t>RV00021000068050235</t>
  </si>
  <si>
    <t>13/06/2568</t>
  </si>
  <si>
    <t>PR2-2568:37/18</t>
  </si>
  <si>
    <t>RV00021000068060124</t>
  </si>
  <si>
    <t>PR2-2568:37/17</t>
  </si>
  <si>
    <t>RV00021000068060123</t>
  </si>
  <si>
    <t>PR2-2568:37/21</t>
  </si>
  <si>
    <t>RV00021000068060127</t>
  </si>
  <si>
    <t>06/06/2568</t>
  </si>
  <si>
    <t>PR2-2568:36/40</t>
  </si>
  <si>
    <t>RV00021000068060058</t>
  </si>
  <si>
    <t>อาจารย์ขลธิดา เกษเพชร</t>
  </si>
  <si>
    <t>PR2-2568:36/39</t>
  </si>
  <si>
    <t>RV00021000068060059</t>
  </si>
  <si>
    <t>PR2-2568:37/19</t>
  </si>
  <si>
    <t>RV00021000068060125</t>
  </si>
  <si>
    <t>PR2-2568:37/20</t>
  </si>
  <si>
    <t>RV00021000068060126</t>
  </si>
  <si>
    <t>03/07/2568</t>
  </si>
  <si>
    <t>PR2-2568:39/39</t>
  </si>
  <si>
    <t>RV00021000068070043</t>
  </si>
  <si>
    <t>PR2-2568:39/41</t>
  </si>
  <si>
    <t>RV00021000068070042</t>
  </si>
  <si>
    <t>PR2-2568:39/20</t>
  </si>
  <si>
    <t>สำนักงานกองทุน
สนับสนุนการสร้างเสริม
สุขภาพ</t>
  </si>
  <si>
    <t>23/07/2568</t>
  </si>
  <si>
    <t>PR2-2568:42/32</t>
  </si>
  <si>
    <t>RV00021000068070296</t>
  </si>
  <si>
    <t>PR2-2568:42/30</t>
  </si>
  <si>
    <t>RV00021000068070294</t>
  </si>
  <si>
    <t>PR2-2568:39/40</t>
  </si>
  <si>
    <t>RV00021000068070041</t>
  </si>
  <si>
    <t>PR2-2568:39/38</t>
  </si>
  <si>
    <t>RV00021000068070044</t>
  </si>
  <si>
    <t>อาจารย์ ดร.พิมพ์ประภา ชัยจักร</t>
  </si>
  <si>
    <t>สถาบันเทคโนโลยี
นิวเคลียร์แห่งชาติ</t>
  </si>
  <si>
    <t>25/07/2568</t>
  </si>
  <si>
    <t>PR2-2568:42/44</t>
  </si>
  <si>
    <t>RV00021000068070321</t>
  </si>
  <si>
    <t>30/07/2568</t>
  </si>
  <si>
    <t>PR2-2568:43/6</t>
  </si>
  <si>
    <t>RV00021000068070435</t>
  </si>
  <si>
    <t>PR2-2568:42/48</t>
  </si>
  <si>
    <t>RV00021000068070423</t>
  </si>
  <si>
    <t>31/07/2568</t>
  </si>
  <si>
    <t>PR2-2568:43/20</t>
  </si>
  <si>
    <t>RV00021000068070484</t>
  </si>
  <si>
    <t>PR2-2568:42/42</t>
  </si>
  <si>
    <t>RV00021000068070319</t>
  </si>
  <si>
    <t>PR2-2568:42/43</t>
  </si>
  <si>
    <t>RV00021000068070320</t>
  </si>
  <si>
    <t>PR2-2568:42/31</t>
  </si>
  <si>
    <t>RV00021000068070295</t>
  </si>
  <si>
    <t>19/08/2568</t>
  </si>
  <si>
    <t>PR2-2568:46/11</t>
  </si>
  <si>
    <t>RV00021000068080236</t>
  </si>
  <si>
    <t>18/08/2568</t>
  </si>
  <si>
    <t>PR2-2568:45/41</t>
  </si>
  <si>
    <t>RV00021000068080226</t>
  </si>
  <si>
    <t>ผศ.ดร.สิงหา ตุลยกุล</t>
  </si>
  <si>
    <t>25/08/2568</t>
  </si>
  <si>
    <t>PR2-2568:46/37</t>
  </si>
  <si>
    <t>RV00021000068080317</t>
  </si>
  <si>
    <t>PR2-2568:46/36</t>
  </si>
  <si>
    <t>RV00021000068080318</t>
  </si>
  <si>
    <t>รศ.ดร.พัศรเบศรณ์ เวชวิริยะสกุล</t>
  </si>
  <si>
    <t>28/08/2568</t>
  </si>
  <si>
    <t>PR2-2568:46/47</t>
  </si>
  <si>
    <t>RV00021000068080391</t>
  </si>
  <si>
    <t>PR2-2568:45/39</t>
  </si>
  <si>
    <t>RV00021000068080225</t>
  </si>
  <si>
    <t>PR2-2568:46/12</t>
  </si>
  <si>
    <t>RV00021000068080237</t>
  </si>
  <si>
    <t>ตั้งแต่วันที่  1  ตุลาคม  2567  ถึงวันที่  30  กันยายน  2568</t>
  </si>
  <si>
    <t>รวมทั้งปีงบประมาณ 2568 (1 ตุลาคม 2567 - 30 กันยายน 2568)</t>
  </si>
  <si>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1
</t>
    </r>
    <r>
      <rPr>
        <b/>
        <sz val="13"/>
        <color indexed="10"/>
        <rFont val="Angsana New"/>
        <family val="1"/>
      </rPr>
      <t>งบประมาณทั้งสิ้น 180,000 บาท</t>
    </r>
  </si>
  <si>
    <t>คณะเทคโนโลยีและ
การพัฒนาชุมชน 
โอนงบวิจัยให้สถาบันวิจัยและนวัตกรรม</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</si>
  <si>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3
</t>
    </r>
    <r>
      <rPr>
        <b/>
        <sz val="13"/>
        <color indexed="10"/>
        <rFont val="Angsana New"/>
        <family val="1"/>
      </rPr>
      <t xml:space="preserve">งบประมาณทั้งสิ้น 2,000,000 บาท </t>
    </r>
  </si>
  <si>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1
</t>
    </r>
    <r>
      <rPr>
        <b/>
        <sz val="13"/>
        <color indexed="10"/>
        <rFont val="Angsana New"/>
        <family val="1"/>
      </rPr>
      <t>วงเงินงบประมาณทั่งสิ้น 700,000 บาท</t>
    </r>
  </si>
  <si>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1 
</t>
    </r>
    <r>
      <rPr>
        <b/>
        <sz val="13"/>
        <color indexed="10"/>
        <rFont val="Angsana New"/>
        <family val="1"/>
      </rPr>
      <t>วงเงินงบประมาณทั่งสิ้น 500,000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</si>
  <si>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3</t>
    </r>
    <r>
      <rPr>
        <sz val="13"/>
        <color indexed="8"/>
        <rFont val="Angsana New"/>
        <family val="1"/>
      </rPr>
      <t xml:space="preserve"> : ยกระดับพริกขาว
ชัยบุรี พืชคู่เคียงคนจน 
</t>
    </r>
    <r>
      <rPr>
        <b/>
        <sz val="13"/>
        <color indexed="10"/>
        <rFont val="Angsana New"/>
        <family val="1"/>
      </rPr>
      <t>งบประมาณทั้งสิ้น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</si>
  <si>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4</t>
    </r>
    <r>
      <rPr>
        <sz val="13"/>
        <color indexed="8"/>
        <rFont val="Angsana New"/>
        <family val="1"/>
      </rPr>
      <t xml:space="preserve"> : เหลียงใบใหญ่ ต้นแบบ
นวัตกรรมเพื่อเศรษฐกิจฐานรากเชิงเทือกเขา
บรรทัด 
</t>
    </r>
    <r>
      <rPr>
        <b/>
        <sz val="13"/>
        <color indexed="10"/>
        <rFont val="Angsana New"/>
        <family val="1"/>
      </rPr>
      <t>งบประมาณทั้งสิ้น 2,000,000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</si>
  <si>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3 
</t>
    </r>
    <r>
      <rPr>
        <b/>
        <sz val="13"/>
        <color indexed="10"/>
        <rFont val="Angsana New"/>
        <family val="1"/>
      </rPr>
      <t>งบประมาณทั้งสิ้น 2,000,000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</si>
  <si>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</si>
  <si>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</si>
  <si>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1 
</t>
    </r>
    <r>
      <rPr>
        <b/>
        <sz val="13"/>
        <color indexed="10"/>
        <rFont val="Angsana New"/>
        <family val="1"/>
      </rPr>
      <t>งบประมาณทั่งสิ้น 2,435,000 บาท</t>
    </r>
  </si>
  <si>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2
</t>
    </r>
    <r>
      <rPr>
        <b/>
        <sz val="13"/>
        <color indexed="10"/>
        <rFont val="Angsana New"/>
        <family val="1"/>
      </rPr>
      <t>งบประมาณทั้งสิ้น 180,000 บาท</t>
    </r>
  </si>
  <si>
    <r>
      <t xml:space="preserve">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1
</t>
    </r>
    <r>
      <rPr>
        <b/>
        <sz val="13"/>
        <color indexed="10"/>
        <rFont val="Angsana New"/>
        <family val="1"/>
      </rPr>
      <t>งบประมาณทั้งสิ้น 150,000 บาท</t>
    </r>
  </si>
  <si>
    <t>04/09/2568</t>
  </si>
  <si>
    <t>PR2-2568:47/39</t>
  </si>
  <si>
    <t>RV00021000068090067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</si>
  <si>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2 
</t>
    </r>
    <r>
      <rPr>
        <b/>
        <sz val="13"/>
        <color indexed="10"/>
        <rFont val="Angsana New"/>
        <family val="1"/>
      </rPr>
      <t>วงเงินงบประมาณทั่งสิ้น 500,000 บาท</t>
    </r>
  </si>
  <si>
    <t>16/09/2568</t>
  </si>
  <si>
    <t>PR2-2568:49/50</t>
  </si>
  <si>
    <t>RV00021000068090287</t>
  </si>
  <si>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2
</t>
    </r>
    <r>
      <rPr>
        <b/>
        <sz val="13"/>
        <color indexed="10"/>
        <rFont val="Angsana New"/>
        <family val="1"/>
      </rPr>
      <t>วงเงินงบประมาณทั่งสิ้น 700,000 บาท</t>
    </r>
  </si>
  <si>
    <t>29/09/2568</t>
  </si>
  <si>
    <t>PR2-2568:51/47</t>
  </si>
  <si>
    <t>RV00021000068090563 และ RV00021000068090564</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</si>
  <si>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</si>
  <si>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3 
</t>
    </r>
    <r>
      <rPr>
        <b/>
        <sz val="13"/>
        <color indexed="10"/>
        <rFont val="Angsana New"/>
        <family val="1"/>
      </rPr>
      <t>วงเงินงบประมาณย่อย 1,100,000 บาท</t>
    </r>
  </si>
  <si>
    <t>PR2-2568:51/48</t>
  </si>
  <si>
    <t>RV00021000068090562</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</si>
  <si>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</si>
  <si>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3
</t>
    </r>
    <r>
      <rPr>
        <b/>
        <sz val="13"/>
        <color indexed="10"/>
        <rFont val="Angsana New"/>
        <family val="1"/>
      </rPr>
      <t>งบประมาณทั้งสิ้น 1,270,000 บาท</t>
    </r>
    <r>
      <rPr>
        <sz val="13"/>
        <color indexed="8"/>
        <rFont val="Angsana New"/>
        <family val="1"/>
      </rPr>
      <t xml:space="preserve"> </t>
    </r>
  </si>
  <si>
    <t>PR2-2568:51/45</t>
  </si>
  <si>
    <t>RV00021000068090566</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</si>
  <si>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5
</t>
    </r>
    <r>
      <rPr>
        <b/>
        <sz val="13"/>
        <color indexed="10"/>
        <rFont val="Angsana New"/>
        <family val="1"/>
      </rPr>
      <t xml:space="preserve">งบประมาณทั้งสิ้น 2,000,000 บาท </t>
    </r>
  </si>
  <si>
    <t>30/09/2568</t>
  </si>
  <si>
    <t>PR2-2568:52/41</t>
  </si>
  <si>
    <t>RV00021000068090631</t>
  </si>
  <si>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2 
</t>
    </r>
    <r>
      <rPr>
        <b/>
        <sz val="13"/>
        <color indexed="10"/>
        <rFont val="Angsana New"/>
        <family val="1"/>
      </rPr>
      <t>งบประมาณทั่งสิ้น 2,435,000 บาท</t>
    </r>
  </si>
  <si>
    <t>JV00021000068090157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</si>
  <si>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3-4 ส่งมอบงาน 22 กันยายน 2568 
</t>
    </r>
    <r>
      <rPr>
        <b/>
        <sz val="13"/>
        <color indexed="10"/>
        <rFont val="Angsana New"/>
        <family val="1"/>
      </rPr>
      <t>วงเงินงบประมาณทั่งสิ้น 500,000 บาท</t>
    </r>
  </si>
  <si>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1
</t>
    </r>
    <r>
      <rPr>
        <b/>
        <sz val="13"/>
        <color indexed="10"/>
        <rFont val="Angsana New"/>
        <family val="1"/>
      </rPr>
      <t xml:space="preserve">งบประมาณทั้งสิ้น 100,000 บาท </t>
    </r>
  </si>
  <si>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1
</t>
    </r>
    <r>
      <rPr>
        <b/>
        <sz val="13"/>
        <color indexed="10"/>
        <rFont val="Angsana New"/>
        <family val="1"/>
      </rPr>
      <t>งบประมาณทั้งสิ้น 100,000 บาท</t>
    </r>
  </si>
  <si>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1
</t>
    </r>
    <r>
      <rPr>
        <b/>
        <sz val="13"/>
        <color indexed="10"/>
        <rFont val="Angsana New"/>
        <family val="1"/>
      </rPr>
      <t>งบประมาณทั้งสิ้น 100,000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</si>
  <si>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3
</t>
    </r>
    <r>
      <rPr>
        <b/>
        <sz val="13"/>
        <color indexed="10"/>
        <rFont val="Angsana New"/>
        <family val="1"/>
      </rPr>
      <t xml:space="preserve">วงเงินงบประมาณทั่งสิ้น 500,000 บาท </t>
    </r>
  </si>
  <si>
    <t>PR2-2568:50/3</t>
  </si>
  <si>
    <t>RV00021000068090284</t>
  </si>
  <si>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2
</t>
    </r>
    <r>
      <rPr>
        <b/>
        <sz val="13"/>
        <color indexed="10"/>
        <rFont val="Angsana New"/>
        <family val="1"/>
      </rPr>
      <t>งบประมาณทั้งสิ้น 100,000 บาท</t>
    </r>
  </si>
  <si>
    <t>PR2-2568:50/2</t>
  </si>
  <si>
    <t>RV00021000068090285</t>
  </si>
  <si>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2
</t>
    </r>
    <r>
      <rPr>
        <b/>
        <sz val="13"/>
        <color indexed="10"/>
        <rFont val="Angsana New"/>
        <family val="1"/>
      </rPr>
      <t xml:space="preserve">งบประมาณทั้งสิ้น 100,000 บาท </t>
    </r>
  </si>
  <si>
    <t>PR2-2568:50/1</t>
  </si>
  <si>
    <t>RV00021000068090286</t>
  </si>
  <si>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2
</t>
    </r>
    <r>
      <rPr>
        <b/>
        <sz val="13"/>
        <color indexed="10"/>
        <rFont val="Angsana New"/>
        <family val="1"/>
      </rPr>
      <t>งบประมาณทั้งสิ้น 100,000 บาท</t>
    </r>
  </si>
  <si>
    <t>PR2-2568:52/39</t>
  </si>
  <si>
    <t>RV00021000068090629
และ 
JV00021000068090051
และ
JV00021000068090052</t>
  </si>
  <si>
    <t>ผศ.ดร.กฤษฎา อภินวถาวกุล</t>
  </si>
  <si>
    <t>องค์การบริหารส่วน
จังหวัดสงขลา</t>
  </si>
  <si>
    <r>
      <t xml:space="preserve">ตามสัญญาข้อตกลงเลขที่ 67-P1-0125-001 
รหัสโครงการ 67-01-001 แผนงานร่วมทุน
สนับสนุนการสร้างสุขภาวะในพื้นที่จังหวัด
สงขลา องค์การบริหารส่วนจังหวัดสงขลา 
เรื่อง โครงการนวัตกรรมการรายงานตัวของ
เด็กและเยาวชนที่กระทำผิดในคดียาเสพติด
เพื่อการสร้างสุขภาวะที่ดีของชุมชน  </t>
    </r>
    <r>
      <rPr>
        <b/>
        <sz val="13"/>
        <color indexed="10"/>
        <rFont val="Angsana New"/>
        <family val="1"/>
      </rPr>
      <t>งบประมาณใช้ไปทั้งสิ้น 79,880 บาท</t>
    </r>
    <r>
      <rPr>
        <sz val="13"/>
        <color indexed="8"/>
        <rFont val="Angsana New"/>
        <family val="1"/>
      </rPr>
      <t xml:space="preserve"> </t>
    </r>
  </si>
  <si>
    <t>PR2-2568:52/38</t>
  </si>
  <si>
    <t>RV00021000068090628
และ
JV00021000068090053
และ
 JV00021000068090054</t>
  </si>
  <si>
    <r>
      <t xml:space="preserve">ตามสัญญาข้อตกลงเลขที่ 67-P1-0125-002 
รหัสโครงการ 67-01-002 แผนงานร่วมทุน
สนับสนุนการสร้างสุขภาวะในพื้นที่จังหวัด
สงขลา องค์การบริหารส่วนจังหวัดสงขลา 
เรื่อง โครงการพัฒนาแกนนำเด็กและเยาวชน
สร้างสื่อ สร้างสรรค์ รู้เท่าทันยาเสพติดสร้างสุข
ภาวะชีวิตที่ดีในชุมชน 
</t>
    </r>
    <r>
      <rPr>
        <b/>
        <sz val="13"/>
        <color indexed="10"/>
        <rFont val="Angsana New"/>
        <family val="1"/>
      </rPr>
      <t>งบประมาณใช้ไปทั้งสิ้น 92,500 บาท</t>
    </r>
  </si>
  <si>
    <t>เล่มที่ 2873 
เลขที่ 3</t>
  </si>
  <si>
    <t>RV00021000068090642</t>
  </si>
  <si>
    <t>ผศ.ชลีรัตน์ มเหสักขกุล</t>
  </si>
  <si>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1
</t>
    </r>
    <r>
      <rPr>
        <b/>
        <sz val="13"/>
        <color indexed="10"/>
        <rFont val="Angsana New"/>
        <family val="1"/>
      </rPr>
      <t>งบประมาณทั้งสิ้น 264,000 บาท</t>
    </r>
  </si>
  <si>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2-3
ส่งมอบงาน 23 กันยายน 2568
</t>
    </r>
    <r>
      <rPr>
        <b/>
        <sz val="13"/>
        <color indexed="10"/>
        <rFont val="Angsana New"/>
        <family val="1"/>
      </rPr>
      <t>งบประมาณทั้งสิ้น 264,000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</si>
  <si>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4-5 ส่งมอบงานวันที่
5 กันยายน 2568
</t>
    </r>
    <r>
      <rPr>
        <b/>
        <sz val="13"/>
        <color indexed="10"/>
        <rFont val="Angsana New"/>
        <family val="1"/>
      </rPr>
      <t xml:space="preserve">วงเงินงบประมาณทั่งสิ้น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</si>
  <si>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2
</t>
    </r>
    <r>
      <rPr>
        <b/>
        <sz val="13"/>
        <color indexed="10"/>
        <rFont val="Angsana New"/>
        <family val="1"/>
      </rPr>
      <t xml:space="preserve">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</si>
  <si>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3
</t>
    </r>
    <r>
      <rPr>
        <b/>
        <sz val="13"/>
        <color indexed="1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</si>
  <si>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4
</t>
    </r>
    <r>
      <rPr>
        <b/>
        <sz val="13"/>
        <color indexed="10"/>
        <rFont val="Angsana New"/>
        <family val="1"/>
      </rPr>
      <t xml:space="preserve">งบประมาณทั้งสิ้น 600,000 บาท </t>
    </r>
  </si>
  <si>
    <t>05/09/2568</t>
  </si>
  <si>
    <t>PR2-2568:48/14</t>
  </si>
  <si>
    <t>RV00021000068090092</t>
  </si>
  <si>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5
</t>
    </r>
    <r>
      <rPr>
        <b/>
        <sz val="13"/>
        <color indexed="1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</si>
  <si>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2
</t>
    </r>
    <r>
      <rPr>
        <b/>
        <sz val="13"/>
        <color indexed="10"/>
        <rFont val="Angsana New"/>
        <family val="1"/>
      </rPr>
      <t>วงเงินตามสัญญา 100,000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</si>
  <si>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3
</t>
    </r>
    <r>
      <rPr>
        <b/>
        <sz val="13"/>
        <color indexed="10"/>
        <rFont val="Angsana New"/>
        <family val="1"/>
      </rPr>
      <t>วงเงินงบประมาณทั่งสิ้น 500,000 บาท</t>
    </r>
    <r>
      <rPr>
        <sz val="13"/>
        <color indexed="8"/>
        <rFont val="Angsana New"/>
        <family val="1"/>
      </rPr>
      <t xml:space="preserve"> </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</si>
  <si>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3</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</si>
  <si>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3
</t>
    </r>
    <r>
      <rPr>
        <b/>
        <sz val="13"/>
        <color indexed="10"/>
        <rFont val="Angsana New"/>
        <family val="1"/>
      </rPr>
      <t>งบประมาณทั้งสิ้น 465,000 บาท</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</si>
  <si>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4-5</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</si>
  <si>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3
</t>
    </r>
    <r>
      <rPr>
        <b/>
        <sz val="13"/>
        <color indexed="10"/>
        <rFont val="Angsana New"/>
        <family val="1"/>
      </rPr>
      <t xml:space="preserve">งบประมาณทั้งสิ้น 600,000 บาท </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</si>
  <si>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</si>
  <si>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4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</si>
  <si>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1</t>
    </r>
    <r>
      <rPr>
        <sz val="13"/>
        <color indexed="8"/>
        <rFont val="Angsana New"/>
        <family val="1"/>
      </rPr>
      <t xml:space="preserve"> : อุตสาหกรรมกรีนคราฟ
แฟชั่นไลฟ์สไตส์ควนขนุนโมเดลแก้จน จังหวัด
พัทลุง 
</t>
    </r>
    <r>
      <rPr>
        <b/>
        <sz val="13"/>
        <color indexed="10"/>
        <rFont val="Angsana New"/>
        <family val="1"/>
      </rPr>
      <t>งบประมาณทั้งสิ้น 1,400,000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</si>
  <si>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5</t>
    </r>
    <r>
      <rPr>
        <sz val="13"/>
        <color indexed="8"/>
        <rFont val="Angsana New"/>
        <family val="1"/>
      </rPr>
      <t xml:space="preserve"> : บางแก้วโมเดล 
การยกระดับเศรษฐกิจครัวเรือนบน
ฐานประมงพื้นบ้าน 
</t>
    </r>
    <r>
      <rPr>
        <b/>
        <sz val="13"/>
        <color indexed="10"/>
        <rFont val="Angsana New"/>
        <family val="1"/>
      </rPr>
      <t>งบประมาณทั้งสิ้น 1,700,000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</si>
  <si>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4
</t>
    </r>
    <r>
      <rPr>
        <b/>
        <sz val="13"/>
        <color indexed="10"/>
        <rFont val="Angsana New"/>
        <family val="1"/>
      </rPr>
      <t xml:space="preserve">งบประมาณทั้งสิ้น 600,000 บาท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</si>
  <si>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</si>
  <si>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2
</t>
    </r>
    <r>
      <rPr>
        <b/>
        <sz val="13"/>
        <color indexed="10"/>
        <rFont val="Angsana New"/>
        <family val="1"/>
      </rPr>
      <t>งบประมาณทั้งสิ้น 1,000,000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</si>
  <si>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5
</t>
    </r>
    <r>
      <rPr>
        <b/>
        <sz val="13"/>
        <color indexed="10"/>
        <rFont val="Angsana New"/>
        <family val="1"/>
      </rPr>
      <t xml:space="preserve">งบประมาณทั้งสิ้น 600,000 บาท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</si>
  <si>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5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</si>
  <si>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</si>
  <si>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3 
</t>
    </r>
    <r>
      <rPr>
        <b/>
        <sz val="13"/>
        <color indexed="10"/>
        <rFont val="Angsana New"/>
        <family val="1"/>
      </rPr>
      <t>วงเงินงบประมาณย่อย 1,100,000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</si>
  <si>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</si>
  <si>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3
</t>
    </r>
    <r>
      <rPr>
        <b/>
        <sz val="13"/>
        <color indexed="10"/>
        <rFont val="Angsana New"/>
        <family val="1"/>
      </rPr>
      <t>งบประมาณทั้งสิ้น 1,000,000 บาท</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</si>
  <si>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2 ส่งมอบงานวันที่
13 กรกฎาคม 2568 
</t>
    </r>
    <r>
      <rPr>
        <b/>
        <sz val="13"/>
        <color indexed="10"/>
        <rFont val="Angsana New"/>
        <family val="1"/>
      </rPr>
      <t>วงเงินงบประมาณทั้งสิ้น 500,000 บาท</t>
    </r>
    <r>
      <rPr>
        <sz val="13"/>
        <color indexed="8"/>
        <rFont val="Angsana New"/>
        <family val="1"/>
      </rPr>
      <t xml:space="preserve"> </t>
    </r>
  </si>
  <si>
    <t>ผศ.บุญเรือง ขาวนวล</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</si>
  <si>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3
</t>
    </r>
    <r>
      <rPr>
        <b/>
        <sz val="13"/>
        <color indexed="10"/>
        <rFont val="Angsana New"/>
        <family val="1"/>
      </rPr>
      <t>วงเงินงบประมาณทั้งสิ้น 9,888,000 บาท</t>
    </r>
  </si>
  <si>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3
</t>
    </r>
    <r>
      <rPr>
        <b/>
        <sz val="13"/>
        <color indexed="10"/>
        <rFont val="Angsana New"/>
        <family val="1"/>
      </rPr>
      <t xml:space="preserve">วงเงินงบประมาณทั้งสิ้น 1,700,000 บาท </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</si>
  <si>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1
</t>
    </r>
    <r>
      <rPr>
        <b/>
        <sz val="13"/>
        <color indexed="10"/>
        <rFont val="Angsana New"/>
        <family val="1"/>
      </rPr>
      <t>งบประมาณทั้งสิ้น 94,500 บาท</t>
    </r>
  </si>
  <si>
    <r>
      <t xml:space="preserve">ตามสัญญาเลขที่ N43A680207 สัญญาให้
ทุนอุดหนุนการวิจัยและนวัตกรรม ภายใต้
งานวิจัยเรื่อง ปัจจัยที่มีอิทธิพลต่อการกลับ
เข้ารับการรักษาซ้ำและต้นทุนการรักษา
พยาบาลของผู้ป่วยโรคหลอดเลือดสมอง 
กรณีศึกษาโรงพยาบาลสงขลา งวดที่ 1
</t>
    </r>
    <r>
      <rPr>
        <b/>
        <sz val="13"/>
        <color indexed="10"/>
        <rFont val="Angsana New"/>
        <family val="1"/>
      </rPr>
      <t>วงเงินงบประมาณทั่งสิ้น 129,000 บาท</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</si>
  <si>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2
</t>
    </r>
    <r>
      <rPr>
        <b/>
        <sz val="13"/>
        <color indexed="10"/>
        <rFont val="Angsana New"/>
        <family val="1"/>
      </rPr>
      <t>งบประมาณทั้งสิ้น 94,500 บาท</t>
    </r>
  </si>
  <si>
    <t>เล่มที่ 2873
เลขที่ 2</t>
  </si>
  <si>
    <t>RV00021000068090643</t>
  </si>
  <si>
    <t>กรมการแพทย์แผนไทย
และการแพทย์ทางเลือก</t>
  </si>
  <si>
    <r>
      <t xml:space="preserve">ตามใบสั่งจ้างเลขที่ บสจ.515/2568 ว่าจ้าง 
จัดทำแผนพัฒนากำลังคนด้านการแพทย์
แผนไทยและการแพทย์ทางเลือกเพื่อหนุน
เสริมระบบบริการสาธารณสุขของประเทศ
งวดที่ 1
</t>
    </r>
    <r>
      <rPr>
        <b/>
        <sz val="13"/>
        <color indexed="10"/>
        <rFont val="Angsana New"/>
        <family val="1"/>
      </rPr>
      <t>งบประมาณทั้งสิ้น 400,000 บาท</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</si>
  <si>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1
</t>
    </r>
    <r>
      <rPr>
        <b/>
        <sz val="13"/>
        <color indexed="10"/>
        <rFont val="Angsana New"/>
        <family val="1"/>
      </rPr>
      <t xml:space="preserve">งบประมาณทั้งสิ้น  220,000 บาท </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</si>
  <si>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2
</t>
    </r>
    <r>
      <rPr>
        <b/>
        <sz val="13"/>
        <color indexed="10"/>
        <rFont val="Angsana New"/>
        <family val="1"/>
      </rPr>
      <t>งบประมาณทั้งสิ้น 893,178 บาท</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</si>
  <si>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2
</t>
    </r>
    <r>
      <rPr>
        <b/>
        <sz val="13"/>
        <color indexed="10"/>
        <rFont val="Angsana New"/>
        <family val="1"/>
      </rPr>
      <t>งบประมาณทั้งสิ้น 120,000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</si>
  <si>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3
</t>
    </r>
    <r>
      <rPr>
        <b/>
        <sz val="13"/>
        <color indexed="10"/>
        <rFont val="Angsana New"/>
        <family val="1"/>
      </rPr>
      <t>งบประมาณทั้งสิ้น 893,178 บาท</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</si>
  <si>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3
</t>
    </r>
    <r>
      <rPr>
        <b/>
        <sz val="13"/>
        <color indexed="10"/>
        <rFont val="Angsana New"/>
        <family val="1"/>
      </rPr>
      <t>งบประมาณทั้งสิ้น 700,000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</si>
  <si>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1</t>
    </r>
    <r>
      <rPr>
        <sz val="13"/>
        <color indexed="8"/>
        <rFont val="Angsana New"/>
        <family val="1"/>
      </rPr>
      <t xml:space="preserve"> พัฒนารูปแบบและ
กลไกการจัดการทรัพยากรสัตว์น้ำเพื่อการ
เรียนรู้อย่างยั่งยืนของคนทุกช่วง งวดที่ 2
</t>
    </r>
    <r>
      <rPr>
        <b/>
        <sz val="13"/>
        <color indexed="10"/>
        <rFont val="Angsana New"/>
        <family val="1"/>
      </rPr>
      <t>งบประมาณ 870,000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</si>
  <si>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3
</t>
    </r>
    <r>
      <rPr>
        <b/>
        <sz val="13"/>
        <color indexed="10"/>
        <rFont val="Angsana New"/>
        <family val="1"/>
      </rPr>
      <t xml:space="preserve">งบประมาณทั้งสิ้น 650,000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</si>
  <si>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3
</t>
    </r>
    <r>
      <rPr>
        <b/>
        <sz val="13"/>
        <color indexed="10"/>
        <rFont val="Angsana New"/>
        <family val="1"/>
      </rPr>
      <t>วงเงินงบประมาณย่อย 682,000 บาท</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</si>
  <si>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3
</t>
    </r>
    <r>
      <rPr>
        <b/>
        <sz val="13"/>
        <color indexed="10"/>
        <rFont val="Angsana New"/>
        <family val="1"/>
      </rPr>
      <t xml:space="preserve">งบประมาณทั้งสิ้น 700,000 บาท </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</si>
  <si>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2
</t>
    </r>
    <r>
      <rPr>
        <b/>
        <sz val="13"/>
        <color indexed="10"/>
        <rFont val="Angsana New"/>
        <family val="1"/>
      </rPr>
      <t xml:space="preserve">งบประมาณทั้งสิ้น  220,000 บาท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</si>
  <si>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3
</t>
    </r>
    <r>
      <rPr>
        <b/>
        <sz val="13"/>
        <color indexed="10"/>
        <rFont val="Angsana New"/>
        <family val="1"/>
      </rPr>
      <t xml:space="preserve">วงเงินงบประมาณทั่งสิ้น 934,500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</si>
  <si>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3 
</t>
    </r>
    <r>
      <rPr>
        <b/>
        <sz val="13"/>
        <color indexed="10"/>
        <rFont val="Angsana New"/>
        <family val="1"/>
      </rPr>
      <t xml:space="preserve">งบประมาณทั้งสิ้น 250,000 บาท </t>
    </r>
  </si>
  <si>
    <t>คณะวิทยาศาสตร์และนวัตกรรมดิจิทัล โอนงบ
วิจัยให้อุทยานวิทยาศาสตร์
และนวัตกรรมสังคม</t>
  </si>
  <si>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1
</t>
    </r>
    <r>
      <rPr>
        <b/>
        <sz val="13"/>
        <color indexed="10"/>
        <rFont val="Angsana New"/>
        <family val="1"/>
      </rPr>
      <t>งบประมาณทั้งสิ้น 3,200,000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</si>
  <si>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2</t>
    </r>
    <r>
      <rPr>
        <sz val="13"/>
        <color indexed="8"/>
        <rFont val="Angsana New"/>
        <family val="1"/>
      </rPr>
      <t xml:space="preserve"> : การสร้างโครงข่าย
ความปลอดภัยทางสังคมเพื่อยกระดับ
เศรษฐกิจชุมชนเกื้อกูลต้นแบบตาม
ฐานภูมินิเวศเขา-นาเล จังหวัดพัทลุง </t>
    </r>
    <r>
      <rPr>
        <b/>
        <sz val="13"/>
        <color indexed="10"/>
        <rFont val="Angsana New"/>
        <family val="1"/>
      </rPr>
      <t>งบประมาณทั้งสิ้น 2,300,000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</si>
  <si>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2
</t>
    </r>
    <r>
      <rPr>
        <b/>
        <sz val="13"/>
        <color indexed="10"/>
        <rFont val="Angsana New"/>
        <family val="1"/>
      </rPr>
      <t>งบประมาณทั้งสิ้น 2,160,000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</si>
  <si>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4
</t>
    </r>
    <r>
      <rPr>
        <b/>
        <sz val="13"/>
        <color indexed="10"/>
        <rFont val="Angsana New"/>
        <family val="1"/>
      </rPr>
      <t xml:space="preserve">งบประมาณทั้งสิ้น 650,000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</si>
  <si>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4
</t>
    </r>
    <r>
      <rPr>
        <b/>
        <sz val="13"/>
        <color indexed="10"/>
        <rFont val="Angsana New"/>
        <family val="1"/>
      </rPr>
      <t xml:space="preserve">งบประมาณทั้งสิ้น 700,000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</si>
  <si>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1
</t>
    </r>
    <r>
      <rPr>
        <b/>
        <sz val="13"/>
        <color indexed="10"/>
        <rFont val="Angsana New"/>
        <family val="1"/>
      </rPr>
      <t>งบประมาณทั่งสิ้น 1,000,000 บาท</t>
    </r>
    <r>
      <rPr>
        <sz val="13"/>
        <color indexed="8"/>
        <rFont val="Angsana New"/>
        <family val="1"/>
      </rPr>
      <t xml:space="preserve"> </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</si>
  <si>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3
</t>
    </r>
    <r>
      <rPr>
        <b/>
        <sz val="13"/>
        <color indexed="10"/>
        <rFont val="Angsana New"/>
        <family val="1"/>
      </rPr>
      <t>งบประมาณทั้งสิ้น 120,000 บาท</t>
    </r>
  </si>
  <si>
    <r>
      <t xml:space="preserve">ตามบันทึกข้อตกลงสนับสนุนงบประมาณ
ความร่วมมือวิจัยทางวิชาการ (โครงการ
ส่งเสริมความร่วมมือการใช้ศักยภาพ
โครงสร้างพื้นฐานทางนิวเคลียร์และเครื่องมือ
วิจัย TINT to University ปีงบประมาณ 2568) 
ภายใต้โครงการ การเพิ่มประสิทธิภาพการผลิต
กระแสไฟฟ้าในเซลล์เชื้อเพลิงจุลินทรีย์ด้วยการ
ใช้แผ่นเมมเบรนนาโนเซลลูโลสหรือฟูคอยแดน
ที่เตรียมจากเทคนิคการฉายรังสีแกมมา 
งวดที่ 1 
</t>
    </r>
    <r>
      <rPr>
        <b/>
        <sz val="13"/>
        <color indexed="10"/>
        <rFont val="Angsana New"/>
        <family val="1"/>
      </rPr>
      <t>งบประมาณทั้งสิ้น 50,000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</si>
  <si>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4
(ส่งมอบงานวันที่ 24 มีนาคม 2568)
</t>
    </r>
    <r>
      <rPr>
        <b/>
        <sz val="13"/>
        <color indexed="10"/>
        <rFont val="Angsana New"/>
        <family val="1"/>
      </rPr>
      <t>งบประมาณทั้งสิ้น 450,000 บาท</t>
    </r>
  </si>
  <si>
    <r>
      <t xml:space="preserve">เงินสนับสนุนการวิจัย เรื่อง Effects of commercial enzymes supplement on 
growth performances, feed utilizations, nutrients digestibilty in Nile tilapia and 
nutrient loading (P&amp;N) into the water 
งวดที่ 2
</t>
    </r>
    <r>
      <rPr>
        <b/>
        <sz val="13"/>
        <color indexed="10"/>
        <rFont val="Angsana New"/>
        <family val="1"/>
      </rPr>
      <t xml:space="preserve">งบประมาณทั้งสิ้น 10,990 USD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</si>
  <si>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4
</t>
    </r>
    <r>
      <rPr>
        <b/>
        <sz val="13"/>
        <color indexed="10"/>
        <rFont val="Angsana New"/>
        <family val="1"/>
      </rPr>
      <t xml:space="preserve">วงเงินงบประมาณทั่งสิ้น 934,500 บาท </t>
    </r>
  </si>
  <si>
    <r>
      <t xml:space="preserve">ตามสัญญาสนับสนุนการวิจัย เรื่อง Evaluation 
of the Pharmacological Effects of 
Supercritical Carbon Dioxide Extraction of 
THC and CBD from Cannabis on 
Parkinson's Disease in a Cell Culture 
Model  งวดที่  2  (บางส่วน 400,000 บาท 
ค้างชำระ 600,000 บาท)
</t>
    </r>
    <r>
      <rPr>
        <b/>
        <sz val="13"/>
        <color indexed="10"/>
        <rFont val="Angsana New"/>
        <family val="1"/>
      </rPr>
      <t xml:space="preserve">วงเงินงบประมาณ 6,000,000 บาท </t>
    </r>
  </si>
  <si>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2
</t>
    </r>
    <r>
      <rPr>
        <b/>
        <sz val="13"/>
        <color indexed="10"/>
        <rFont val="Angsana New"/>
        <family val="1"/>
      </rPr>
      <t>งบประมาณทั้งสิ้น 3,200,000 บาท</t>
    </r>
    <r>
      <rPr>
        <sz val="13"/>
        <color indexed="8"/>
        <rFont val="Angsana New"/>
        <family val="1"/>
      </rPr>
      <t xml:space="preserve"> </t>
    </r>
  </si>
  <si>
    <t>PR2-2568:47/40</t>
  </si>
  <si>
    <t>RV00021000068090072</t>
  </si>
  <si>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4 
</t>
    </r>
    <r>
      <rPr>
        <b/>
        <sz val="13"/>
        <color indexed="10"/>
        <rFont val="Angsana New"/>
        <family val="1"/>
      </rPr>
      <t xml:space="preserve">วงเงินงบประมาณทั่งสิ้น 604,000 บาท </t>
    </r>
  </si>
  <si>
    <t>PR2-2568:48/15</t>
  </si>
  <si>
    <t>RV00021000068090093</t>
  </si>
  <si>
    <t>อาจารย์ ดร.วิกาญดา ทองเนื้อแข็ง</t>
  </si>
  <si>
    <r>
      <t xml:space="preserve">ตามสัญญาเลขที่ C045F680156 ซึ่งเป็น
สัญญาให้ทุนโครงการ การสร้างมูลค่าของ
เสียเศษวัสดุจากกากตะกอนอุตสาหกรรม
ปาล์มน้ำมันและทางปาล์มน้ำมัน โดยใช้เป็นวัสดุทดแทนคุณภาพสูงในอุตสาหกรรมผลิต
ปุ๋ยอินทรีย์คาร์บอนต่ำ แผนงาน N5 (S1P4) 
ใช้นวัตกรรมสร้างรูปแบบธุรกิจใหม่จาก
โมเดลเศรษฐกิจหมุนเวียนและเศรษฐกิจคาร์บอนต่ำ งวดที่ 1
</t>
    </r>
    <r>
      <rPr>
        <b/>
        <sz val="13"/>
        <color indexed="10"/>
        <rFont val="Angsana New"/>
        <family val="1"/>
      </rPr>
      <t>งบประมาณทั้งสิ้น 1,445,000 บาท</t>
    </r>
  </si>
  <si>
    <t>หักใน
งวดที่ 2 
และงวดที่ 5</t>
  </si>
  <si>
    <t>PR2-2568:49/46</t>
  </si>
  <si>
    <t>RV00021000068090279</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</si>
  <si>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4
</t>
    </r>
    <r>
      <rPr>
        <b/>
        <sz val="13"/>
        <color indexed="10"/>
        <rFont val="Angsana New"/>
        <family val="1"/>
      </rPr>
      <t>งบประมาณทั้งสิ้น 700,000 บาท</t>
    </r>
  </si>
  <si>
    <t>PR2-2568:49/47</t>
  </si>
  <si>
    <t>RV00021000068090280</t>
  </si>
  <si>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5
</t>
    </r>
    <r>
      <rPr>
        <b/>
        <sz val="13"/>
        <color indexed="10"/>
        <rFont val="Angsana New"/>
        <family val="1"/>
      </rPr>
      <t xml:space="preserve">งบประมาณทั้งสิ้น 650,000 บาท </t>
    </r>
  </si>
  <si>
    <t>PR2-2568:49/48</t>
  </si>
  <si>
    <t>RV00021000068090281</t>
  </si>
  <si>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3
</t>
    </r>
    <r>
      <rPr>
        <b/>
        <sz val="13"/>
        <color indexed="10"/>
        <rFont val="Angsana New"/>
        <family val="1"/>
      </rPr>
      <t xml:space="preserve">งบประมาณทั้งสิ้น  220,000 บาท </t>
    </r>
  </si>
  <si>
    <t>PR2-2568:49/49</t>
  </si>
  <si>
    <t>RV00021000068090288</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</si>
  <si>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5
</t>
    </r>
    <r>
      <rPr>
        <b/>
        <sz val="13"/>
        <color indexed="10"/>
        <rFont val="Angsana New"/>
        <family val="1"/>
      </rPr>
      <t xml:space="preserve">งบประมาณทั้งสิ้น 700,000 บาท </t>
    </r>
  </si>
  <si>
    <t>25/09/2568</t>
  </si>
  <si>
    <t>PR2-2568:51/17</t>
  </si>
  <si>
    <t>RV00021000068090450</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</si>
  <si>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5
</t>
    </r>
    <r>
      <rPr>
        <b/>
        <sz val="13"/>
        <color indexed="10"/>
        <rFont val="Angsana New"/>
        <family val="1"/>
      </rPr>
      <t>งบประมาณทั้งสิ้น 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</si>
  <si>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</si>
  <si>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3
</t>
    </r>
    <r>
      <rPr>
        <b/>
        <sz val="13"/>
        <color indexed="10"/>
        <rFont val="Angsana New"/>
        <family val="1"/>
      </rPr>
      <t>วงเงินงบประมาณย่อย 1,000,000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</si>
  <si>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3
</t>
    </r>
    <r>
      <rPr>
        <b/>
        <sz val="13"/>
        <color indexed="10"/>
        <rFont val="Angsana New"/>
        <family val="1"/>
      </rPr>
      <t>งบประมาณทั้งสิ้น 2,160,000 บาท</t>
    </r>
  </si>
  <si>
    <t>PR2-2568:51/46</t>
  </si>
  <si>
    <t>RV00021000068090565</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</si>
  <si>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5
</t>
    </r>
    <r>
      <rPr>
        <b/>
        <sz val="13"/>
        <color indexed="10"/>
        <rFont val="Angsana New"/>
        <family val="1"/>
      </rPr>
      <t>งบประมาณทั้งสิ้น 450,000 บาท</t>
    </r>
  </si>
  <si>
    <t>เล่มที่ 2873
เลขที่ 4</t>
  </si>
  <si>
    <t>RV00021000068090641</t>
  </si>
  <si>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3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</si>
  <si>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t>เล่มที่ 2873
เลขที่ 1</t>
  </si>
  <si>
    <t>RV00021000068090644</t>
  </si>
  <si>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5
</t>
    </r>
    <r>
      <rPr>
        <b/>
        <sz val="13"/>
        <color indexed="10"/>
        <rFont val="Angsana New"/>
        <family val="1"/>
      </rPr>
      <t xml:space="preserve">วงเงินงบประมาณทั่งสิ้น 934,500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</si>
  <si>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2 ส่งมอบงาน 4 สิงหาคม 2568
</t>
    </r>
    <r>
      <rPr>
        <b/>
        <sz val="13"/>
        <color indexed="10"/>
        <rFont val="Angsana New"/>
        <family val="1"/>
      </rPr>
      <t>งบประมาณทั่งสิ้น 1,000,000 บาท</t>
    </r>
    <r>
      <rPr>
        <sz val="13"/>
        <color indexed="8"/>
        <rFont val="Angsana New"/>
        <family val="1"/>
      </rPr>
      <t xml:space="preserve"> </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</si>
  <si>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1
</t>
    </r>
    <r>
      <rPr>
        <b/>
        <sz val="13"/>
        <color indexed="10"/>
        <rFont val="Angsana New"/>
        <family val="1"/>
      </rPr>
      <t xml:space="preserve">งบประมาณทั้งสิ้น 200,000 บาท </t>
    </r>
  </si>
  <si>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1
</t>
    </r>
    <r>
      <rPr>
        <b/>
        <sz val="13"/>
        <color indexed="10"/>
        <rFont val="Angsana New"/>
        <family val="1"/>
      </rPr>
      <t>วงเงินงบประมาณทั่งสิ้น 500,000 บาท</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</si>
  <si>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2
</t>
    </r>
    <r>
      <rPr>
        <b/>
        <sz val="13"/>
        <color indexed="10"/>
        <rFont val="Angsana New"/>
        <family val="1"/>
      </rPr>
      <t xml:space="preserve">งบประมาณทั้งสิ้น 200,000 บาท </t>
    </r>
  </si>
  <si>
    <t>PR2-2568:51/15</t>
  </si>
  <si>
    <t>RV00021000068090448</t>
  </si>
  <si>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2
</t>
    </r>
    <r>
      <rPr>
        <b/>
        <sz val="13"/>
        <color indexed="10"/>
        <rFont val="Angsana New"/>
        <family val="1"/>
      </rPr>
      <t>วงเงินงบประมาณทั่งสิ้น 500,000 บาท</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</si>
  <si>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1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</si>
  <si>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</si>
  <si>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2-3 ส่งมอบงาน
 11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</si>
  <si>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งวดที่ 2-3 ส่งมอบงาน
29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</si>
  <si>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SG0011.23 สนับสนุน
การวิจัยภายใต้โครงการครุศึกษายุคใหม่ 
หรือ Thailand Strengthening Teacher Education Programmen(T-STEP) งวดที่ 2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</si>
  <si>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2 (งบกลาง)
</t>
    </r>
    <r>
      <rPr>
        <b/>
        <sz val="13"/>
        <color indexed="10"/>
        <rFont val="Angsana New"/>
        <family val="1"/>
      </rPr>
      <t>งบประมาณทั้งสิ้น 2,900,000 บาท</t>
    </r>
    <r>
      <rPr>
        <sz val="13"/>
        <color indexed="8"/>
        <rFont val="Angsana New"/>
        <family val="1"/>
      </rPr>
      <t xml:space="preserve">  
</t>
    </r>
    <r>
      <rPr>
        <b/>
        <u/>
        <sz val="13"/>
        <color indexed="10"/>
        <rFont val="Angsana New"/>
        <family val="1"/>
      </rPr>
      <t xml:space="preserve">โครงการกลางงบประมาณ 1,160,000 บ.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</si>
  <si>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3
</t>
    </r>
    <r>
      <rPr>
        <b/>
        <sz val="13"/>
        <color indexed="10"/>
        <rFont val="Angsana New"/>
        <family val="1"/>
      </rPr>
      <t xml:space="preserve">งบประมาณทั้งสิ้น 1,000,000 บาท </t>
    </r>
  </si>
  <si>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1
</t>
    </r>
    <r>
      <rPr>
        <b/>
        <sz val="13"/>
        <color indexed="10"/>
        <rFont val="Angsana New"/>
        <family val="1"/>
      </rPr>
      <t>งบประมาณทั้งสิ้น 100,000 บาท</t>
    </r>
    <r>
      <rPr>
        <sz val="13"/>
        <color indexed="8"/>
        <rFont val="Angsana New"/>
        <family val="1"/>
      </rPr>
      <t xml:space="preserve"> </t>
    </r>
  </si>
  <si>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1
</t>
    </r>
    <r>
      <rPr>
        <b/>
        <sz val="13"/>
        <color indexed="10"/>
        <rFont val="Angsana New"/>
        <family val="1"/>
      </rPr>
      <t>งบประมาณทั้งสิ้น 100,000 บาท</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</si>
  <si>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4
</t>
    </r>
    <r>
      <rPr>
        <b/>
        <sz val="13"/>
        <color indexed="10"/>
        <rFont val="Angsana New"/>
        <family val="1"/>
      </rPr>
      <t xml:space="preserve">งบประมาณทั้งสิ้น 1,000,000 บาท </t>
    </r>
  </si>
  <si>
    <t>มหาวิทยาลัย
สงขลานครินทร์ (เครือข่าย
อุดมศึกษาภาคใต้ตอนล่าง)</t>
  </si>
  <si>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ภายใต้โครงการการพัฒนารูปแบบ
การเรียนการสอนวิชาพลศึกษาโดยใช้กิจกรรม
ทางกายบูรณาการกับกลุ่มสาระการเรียนรู้
ต่าง ๆ ภายหลังจากสถานการณ์โควิด 19 
ในรูปแบบ PLC สู่สังคมที่ยั่งยืน ของนักเรียน
ระดับประถมศึกษาในโรงเรียนขนาดเล็กและ
ขนาดกลาง เขตจังหวัดสงขลา พัทลุง 
นครศรีธรรมราช งวดที่ 1 
</t>
    </r>
    <r>
      <rPr>
        <b/>
        <sz val="13"/>
        <color indexed="10"/>
        <rFont val="Angsana New"/>
        <family val="1"/>
      </rPr>
      <t>งบประมาณทั้งสิ้น 279,910 บาท</t>
    </r>
  </si>
  <si>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ภายใต้โครงการการพัฒนารัก
การอ่านของนักเรียนระดับประถมศึกษา ใน
โรงเรียนขนาดเล็กและขนาดกลาง เขตจังหวัด
สงขลา พัทลุง 
</t>
    </r>
    <r>
      <rPr>
        <b/>
        <sz val="13"/>
        <color indexed="10"/>
        <rFont val="Angsana New"/>
        <family val="1"/>
      </rPr>
      <t>งบประมาณทั้งสิ้น 755,160 บาท</t>
    </r>
  </si>
  <si>
    <t>โรงเรียนสาธิตแห่ง
มหาวิทยาลัยธรรมศาสตร์
ร่วมกับกองทุนเพื่อความ
เสมอภาคทางการศึกษา</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</si>
  <si>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1
</t>
    </r>
    <r>
      <rPr>
        <b/>
        <sz val="13"/>
        <color indexed="10"/>
        <rFont val="Angsana New"/>
        <family val="1"/>
      </rPr>
      <t>งบประมาณทั้งสิ้น 450,000 บาท</t>
    </r>
  </si>
  <si>
    <t>PR2-2568:50/5</t>
  </si>
  <si>
    <t>RV00021000068090282</t>
  </si>
  <si>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2
</t>
    </r>
    <r>
      <rPr>
        <b/>
        <sz val="13"/>
        <color indexed="10"/>
        <rFont val="Angsana New"/>
        <family val="1"/>
      </rPr>
      <t>งบประมาณทั้งสิ้น 100,000 บาท</t>
    </r>
    <r>
      <rPr>
        <sz val="13"/>
        <color indexed="8"/>
        <rFont val="Angsana New"/>
        <family val="1"/>
      </rPr>
      <t xml:space="preserve"> </t>
    </r>
  </si>
  <si>
    <t>PR2-2568:50/4</t>
  </si>
  <si>
    <t>RV00021000068090283</t>
  </si>
  <si>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2
</t>
    </r>
    <r>
      <rPr>
        <b/>
        <sz val="13"/>
        <color indexed="10"/>
        <rFont val="Angsana New"/>
        <family val="1"/>
      </rPr>
      <t>งบประมาณทั้งสิ้น 100,000 บาท</t>
    </r>
  </si>
  <si>
    <t>PR2-2568:51/16</t>
  </si>
  <si>
    <t>RV00021000068090449</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</si>
  <si>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2
</t>
    </r>
    <r>
      <rPr>
        <b/>
        <sz val="13"/>
        <color indexed="10"/>
        <rFont val="Angsana New"/>
        <family val="1"/>
      </rPr>
      <t>งบประมาณทั้งสิ้น 450,000 บาท</t>
    </r>
  </si>
  <si>
    <t>PR2-2568:51/49</t>
  </si>
  <si>
    <t>RV00021000068090567</t>
  </si>
  <si>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3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</si>
  <si>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3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</si>
  <si>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3
</t>
    </r>
    <r>
      <rPr>
        <b/>
        <sz val="13"/>
        <color indexed="10"/>
        <rFont val="Angsana New"/>
        <family val="1"/>
      </rPr>
      <t>วงเงินงบประมาณย่อย 1,415,000 บาท</t>
    </r>
    <r>
      <rPr>
        <sz val="13"/>
        <color indexed="8"/>
        <rFont val="Angsana New"/>
        <family val="1"/>
      </rPr>
      <t xml:space="preserve"> </t>
    </r>
  </si>
  <si>
    <t>PR2-2568:52/43</t>
  </si>
  <si>
    <t>RV00021000068090633</t>
  </si>
  <si>
    <r>
      <t xml:space="preserve">ตามสัญญาเลขที่ SG0011.23 สนับสนุน
การวิจัยภายใต้โครงการครุศึกษายุคใหม่ 
หรือ Thailand Strengthening Teacher Education Programmen(T-STEP) งวดที่ 3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</si>
  <si>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2
</t>
    </r>
    <r>
      <rPr>
        <b/>
        <sz val="13"/>
        <color indexed="1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</si>
  <si>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3
</t>
    </r>
    <r>
      <rPr>
        <b/>
        <sz val="13"/>
        <color indexed="10"/>
        <rFont val="Angsana New"/>
        <family val="1"/>
      </rPr>
      <t xml:space="preserve">วงเงินงบประมาณย่อย 466,950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</si>
  <si>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3
</t>
    </r>
    <r>
      <rPr>
        <b/>
        <sz val="13"/>
        <color indexed="10"/>
        <rFont val="Angsana New"/>
        <family val="1"/>
      </rPr>
      <t>วงเงินงบประมาณทั่งสิ้น 400,000 บาท</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</si>
  <si>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4
</t>
    </r>
    <r>
      <rPr>
        <b/>
        <sz val="13"/>
        <color indexed="10"/>
        <rFont val="Angsana New"/>
        <family val="1"/>
      </rPr>
      <t>วงเงินงบประมาณทั่งสิ้น 400,000 บาท</t>
    </r>
  </si>
  <si>
    <t>PL2-2568:6/11</t>
  </si>
  <si>
    <t>RV00021000068090561</t>
  </si>
  <si>
    <t>PL2-2568:6/15</t>
  </si>
  <si>
    <t>RV00021000068090618</t>
  </si>
  <si>
    <t>องค์กรปกครองส่วนท้องถิ่น
จำนวน 89 หน่วยงาน</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</si>
  <si>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พ.ศ.2568</t>
  </si>
  <si>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6</t>
    </r>
    <r>
      <rPr>
        <sz val="13"/>
        <color indexed="8"/>
        <rFont val="Angsana New"/>
        <family val="1"/>
      </rPr>
      <t xml:space="preserve"> : การยกระดับคุณภาพ
ชีวิตด้วยวิถีชุมชนสุขภาพและสมุนไพรบน
ฐานทรัพยากรวัฒนธรรมอำเภอเขาชัยสน 
จังหวัดพัทลุง 
</t>
    </r>
    <r>
      <rPr>
        <b/>
        <sz val="13"/>
        <color indexed="10"/>
        <rFont val="Angsana New"/>
        <family val="1"/>
      </rPr>
      <t>งบประมาณทั้งสิ้น 1,800,000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</si>
  <si>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</si>
  <si>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3
</t>
    </r>
    <r>
      <rPr>
        <b/>
        <sz val="13"/>
        <color indexed="10"/>
        <rFont val="Angsana New"/>
        <family val="1"/>
      </rPr>
      <t>งบประมาณทั้งสิ้น 2,000,000 บาท</t>
    </r>
    <r>
      <rPr>
        <sz val="13"/>
        <color indexed="8"/>
        <rFont val="Angsana New"/>
        <family val="1"/>
      </rPr>
      <t xml:space="preserve"> </t>
    </r>
  </si>
  <si>
    <t>PR2-2568:52/42</t>
  </si>
  <si>
    <t>RV00021000068090632</t>
  </si>
  <si>
    <t>อาจารย์พิมพ์แพร รุจิรเมธา</t>
  </si>
  <si>
    <t>กองทุนส่งเสริม
การพัฒนาตลาดทุน</t>
  </si>
  <si>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1)
</t>
    </r>
    <r>
      <rPr>
        <b/>
        <sz val="13"/>
        <color indexed="10"/>
        <rFont val="Angsana New"/>
        <family val="1"/>
      </rPr>
      <t>งบประมาณทั้งสิ้น 600,000 บาท</t>
    </r>
  </si>
  <si>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2)
</t>
    </r>
    <r>
      <rPr>
        <b/>
        <sz val="13"/>
        <color indexed="10"/>
        <rFont val="Angsana New"/>
        <family val="1"/>
      </rPr>
      <t>งบประมาณทั้งสิ้น 600,000 บาท</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</si>
  <si>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1
</t>
    </r>
    <r>
      <rPr>
        <b/>
        <sz val="13"/>
        <color indexed="10"/>
        <rFont val="Angsana New"/>
        <family val="1"/>
      </rPr>
      <t xml:space="preserve">งบประมาณทั้งสิ้น 4,840,000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</si>
  <si>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3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</si>
  <si>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3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</si>
  <si>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2
</t>
    </r>
    <r>
      <rPr>
        <b/>
        <sz val="13"/>
        <color indexed="10"/>
        <rFont val="Angsana New"/>
        <family val="1"/>
      </rPr>
      <t xml:space="preserve">งบประมาณทั้งสิ้น 4,840,000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</si>
  <si>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1
</t>
    </r>
    <r>
      <rPr>
        <b/>
        <sz val="13"/>
        <color indexed="10"/>
        <rFont val="Angsana New"/>
        <family val="1"/>
      </rPr>
      <t xml:space="preserve">งบประมาณทั้งสิ้น 1,252,000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</si>
  <si>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2
</t>
    </r>
    <r>
      <rPr>
        <b/>
        <sz val="13"/>
        <color indexed="10"/>
        <rFont val="Angsana New"/>
        <family val="1"/>
      </rPr>
      <t xml:space="preserve">งบประมาณทั้งสิ้น 1,252,000 บาท </t>
    </r>
  </si>
  <si>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1
</t>
    </r>
    <r>
      <rPr>
        <b/>
        <sz val="13"/>
        <color indexed="10"/>
        <rFont val="Angsana New"/>
        <family val="1"/>
      </rPr>
      <t>วงเงินงบประมาณทั่งสิ้น 510,000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</si>
  <si>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1
</t>
    </r>
    <r>
      <rPr>
        <b/>
        <sz val="13"/>
        <color indexed="10"/>
        <rFont val="Angsana New"/>
        <family val="1"/>
      </rPr>
      <t>วงเงินงบประมาณทั่งสิ้น 995,000 บาท</t>
    </r>
  </si>
  <si>
    <r>
      <t xml:space="preserve">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1
</t>
    </r>
    <r>
      <rPr>
        <b/>
        <sz val="13"/>
        <color indexed="10"/>
        <rFont val="Angsana New"/>
        <family val="1"/>
      </rPr>
      <t>วงเงินงบประมาณทั่งสิ้น 700,000 บาท</t>
    </r>
  </si>
  <si>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1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</si>
  <si>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7</t>
    </r>
    <r>
      <rPr>
        <sz val="13"/>
        <color indexed="8"/>
        <rFont val="Angsana New"/>
        <family val="1"/>
      </rPr>
      <t xml:space="preserve"> : การยกระดับ
อุตสาหกรรมชุมชนปลาดุกร้าภายใต้ BCG 
จังหวัดพัทลุง 
</t>
    </r>
    <r>
      <rPr>
        <b/>
        <sz val="13"/>
        <color indexed="10"/>
        <rFont val="Angsana New"/>
        <family val="1"/>
      </rPr>
      <t>งบประมาณทั้งสิ้น 1,800,000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</si>
  <si>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</si>
  <si>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4
</t>
    </r>
    <r>
      <rPr>
        <b/>
        <sz val="13"/>
        <color indexed="10"/>
        <rFont val="Angsana New"/>
        <family val="1"/>
      </rPr>
      <t xml:space="preserve">งบประมาณทั้งสิ้น 4,840,000 บาท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</si>
  <si>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3
</t>
    </r>
    <r>
      <rPr>
        <b/>
        <sz val="13"/>
        <color indexed="10"/>
        <rFont val="Angsana New"/>
        <family val="1"/>
      </rPr>
      <t xml:space="preserve">งบประมาณทั้งสิ้น 4,840,000 บาท </t>
    </r>
  </si>
  <si>
    <r>
      <t xml:space="preserve">ตามสัญญาเลขที่ A11F680195 สัญญาให้ทุน
โครงการ การขับเคลื่อนเศรษฐกิจชุมชน
ปลาดุกในพื้นที่จังหวัดพัทลุงด้วยเทคโนโลยี
จุลินทรีย์สังเคราะห์แสงเทคโนโลยีโอเมก้า -3 
และการแปรรูปในห่วงโซ่คุณค่า เพื่อการพัฒนา
อย่างยั่งยืน งวดที่ 1
</t>
    </r>
    <r>
      <rPr>
        <b/>
        <sz val="13"/>
        <color indexed="10"/>
        <rFont val="Angsana New"/>
        <family val="1"/>
      </rPr>
      <t>งบประมาณทั้งสิ้น 1,500,000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</si>
  <si>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2
</t>
    </r>
    <r>
      <rPr>
        <b/>
        <sz val="13"/>
        <color indexed="10"/>
        <rFont val="Angsana New"/>
        <family val="1"/>
      </rPr>
      <t>วงเงินงบประมาณทั่งสิ้น 995,000 บาท</t>
    </r>
  </si>
  <si>
    <t>PR2-2568:47/38</t>
  </si>
  <si>
    <t>RV00021000068090068</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</si>
  <si>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3
</t>
    </r>
    <r>
      <rPr>
        <b/>
        <sz val="13"/>
        <color indexed="10"/>
        <rFont val="Angsana New"/>
        <family val="1"/>
      </rPr>
      <t xml:space="preserve">งบประมาณทั้งสิ้น 1,252,000 บาท </t>
    </r>
  </si>
  <si>
    <t>PR2-2568:47/37</t>
  </si>
  <si>
    <t>RV00021000068090069</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</si>
  <si>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t>
    </r>
    <r>
      <rPr>
        <b/>
        <sz val="13"/>
        <color indexed="10"/>
        <rFont val="Angsana New"/>
        <family val="1"/>
      </rPr>
      <t xml:space="preserve">งบประมาณทั้งสิ้น 1,252,000 บาท </t>
    </r>
  </si>
  <si>
    <t>PR2-2568:47/35</t>
  </si>
  <si>
    <t>RV00021000068090071</t>
  </si>
  <si>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2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</si>
  <si>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3
</t>
    </r>
    <r>
      <rPr>
        <b/>
        <sz val="13"/>
        <color indexed="10"/>
        <rFont val="Angsana New"/>
        <family val="1"/>
      </rPr>
      <t>งบประมาณทั้งสิ้น 1,270,000 บาท</t>
    </r>
    <r>
      <rPr>
        <sz val="13"/>
        <color indexed="8"/>
        <rFont val="Angsana New"/>
        <family val="1"/>
      </rPr>
      <t xml:space="preserve"> </t>
    </r>
  </si>
  <si>
    <t>PR2-2568:52/40</t>
  </si>
  <si>
    <t>RV00021000068090630</t>
  </si>
  <si>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2
</t>
    </r>
    <r>
      <rPr>
        <b/>
        <sz val="13"/>
        <color indexed="10"/>
        <rFont val="Angsana New"/>
        <family val="1"/>
      </rPr>
      <t>วงเงินงบประมาณทั่งสิ้น 510,000 บาท</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</si>
  <si>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ส่งมอบงาน
3 กันยายน 2568
</t>
    </r>
    <r>
      <rPr>
        <b/>
        <sz val="13"/>
        <color indexed="10"/>
        <rFont val="Angsana New"/>
        <family val="1"/>
      </rPr>
      <t xml:space="preserve">งบประมาณทั้งสิ้น 1,252,000 บาท </t>
    </r>
  </si>
  <si>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1
</t>
    </r>
    <r>
      <rPr>
        <b/>
        <sz val="13"/>
        <color indexed="10"/>
        <rFont val="Angsana New"/>
        <family val="1"/>
      </rPr>
      <t>วงเงินงบประมาณทั่งสิ้น 550,000 บาท</t>
    </r>
  </si>
  <si>
    <t>PR2-2568:51/18</t>
  </si>
  <si>
    <t>RV00021000068090451 และ RV00021000068090452</t>
  </si>
  <si>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2
</t>
    </r>
    <r>
      <rPr>
        <b/>
        <sz val="13"/>
        <color indexed="10"/>
        <rFont val="Angsana New"/>
        <family val="1"/>
      </rPr>
      <t>วงเงินงบประมาณทั่งสิ้น 550,000 บาท</t>
    </r>
  </si>
  <si>
    <r>
      <t xml:space="preserve">ผศ.ดร.วิวัฒน์ ฤทธิมา 
</t>
    </r>
    <r>
      <rPr>
        <b/>
        <u/>
        <sz val="13"/>
        <color indexed="8"/>
        <rFont val="Angsana New"/>
        <family val="1"/>
      </rPr>
      <t xml:space="preserve">เปลี่ยนแปลงเป็น </t>
    </r>
    <r>
      <rPr>
        <sz val="13"/>
        <color indexed="8"/>
        <rFont val="Angsana New"/>
        <family val="1"/>
      </rPr>
      <t xml:space="preserve">
อาจารย์ ดนวัต สีพุธสุข</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</si>
  <si>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3
</t>
    </r>
    <r>
      <rPr>
        <b/>
        <sz val="13"/>
        <color indexed="10"/>
        <rFont val="Angsana New"/>
        <family val="1"/>
      </rPr>
      <t>วงเงินงบประมาณย่อย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</si>
  <si>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t>
    </r>
    <r>
      <rPr>
        <b/>
        <sz val="13"/>
        <color indexed="10"/>
        <rFont val="Angsana New"/>
        <family val="1"/>
      </rPr>
      <t xml:space="preserve">งบประมาณทั้งสิ้น 18,000,000 </t>
    </r>
    <r>
      <rPr>
        <sz val="13"/>
        <color indexed="8"/>
        <rFont val="Angsana New"/>
        <family val="1"/>
      </rPr>
      <t xml:space="preserve">
</t>
    </r>
    <r>
      <rPr>
        <b/>
        <u/>
        <sz val="13"/>
        <color indexed="8"/>
        <rFont val="Angsana New"/>
        <family val="1"/>
      </rPr>
      <t>โครงการหลัก (งบบริหาร)</t>
    </r>
    <r>
      <rPr>
        <sz val="13"/>
        <color indexed="8"/>
        <rFont val="Angsana New"/>
        <family val="1"/>
      </rPr>
      <t xml:space="preserve">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1
</t>
    </r>
    <r>
      <rPr>
        <b/>
        <sz val="13"/>
        <color indexed="10"/>
        <rFont val="Angsana New"/>
        <family val="1"/>
      </rPr>
      <t xml:space="preserve">งบบริหาร วงเงิน 4,500,000 บ.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</si>
  <si>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งวดพิเศษ จ</t>
    </r>
    <r>
      <rPr>
        <sz val="13"/>
        <color indexed="8"/>
        <rFont val="Angsana New"/>
        <family val="1"/>
      </rPr>
      <t>. เงินสนับสนุนกิจกรรม
การนำเสนอผลงาน เรื่อง อุตสาหกรรม
สร้างสรรค์งานคราฟกระจูด อำเภอควนขนุน 
จังหวัดพัทลุง เข้าร่วมประกวดผลงานนวัตกรรม
และจัดแสดงในงาน The 36th International 
Invention &amp; Technology Exhibition (ITEX 
2025) ระหว่างวันที่ 29-31 พฤษภาคม 2568 
ณ กรุงกัวลาลัมเปอร์ สหพันธรัฐมาเลเซีย</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</si>
  <si>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2 (งบบริหาร) 
</t>
    </r>
    <r>
      <rPr>
        <b/>
        <sz val="13"/>
        <color indexed="10"/>
        <rFont val="Angsana New"/>
        <family val="1"/>
      </rPr>
      <t xml:space="preserve">งบประมาณบริหาร วงเงิน 7,300,000 บ.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</si>
  <si>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3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</si>
  <si>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3 (งบบริหาร) 
</t>
    </r>
    <r>
      <rPr>
        <b/>
        <sz val="13"/>
        <color indexed="10"/>
        <rFont val="Angsana New"/>
        <family val="1"/>
      </rPr>
      <t xml:space="preserve">งบประมาณบริหาร วงเงิน 7,300,000 บ. </t>
    </r>
  </si>
  <si>
    <r>
      <t xml:space="preserve">ตามเลขที่สัญญา (IOM Project Code)
DP.2789.TH10.Q2.01.001 (TH/2024/0064)
สำหรับทุนสนับสนุนการวิจัยภายใต้  เรื่อง 
การศึกษาสถานภาพแรงงานต่างด้าวใน
ประเทศไทย : กรณีศึกษาชาวเมียนมาใน
จังหวัดสงขลา (Data collection on Multi-sectoral Assessment of Needs 
(MSA) and Accessibillity of Service and 
Information (ASI)) ระยะเวลา 15 ตุลาคม 67
ถึง 20 พฤศจิกายน 67 
</t>
    </r>
    <r>
      <rPr>
        <b/>
        <sz val="13"/>
        <color indexed="10"/>
        <rFont val="Angsana New"/>
        <family val="1"/>
      </rPr>
      <t>งบประมาณทั้งสิ้น 392,400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</si>
  <si>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2</t>
    </r>
    <r>
      <rPr>
        <sz val="13"/>
        <color indexed="8"/>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2
</t>
    </r>
    <r>
      <rPr>
        <b/>
        <sz val="13"/>
        <color indexed="10"/>
        <rFont val="Angsana New"/>
        <family val="1"/>
      </rPr>
      <t>งบประมาณ 870,000 บาท</t>
    </r>
    <r>
      <rPr>
        <sz val="13"/>
        <color indexed="8"/>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</si>
  <si>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3 
</t>
    </r>
    <r>
      <rPr>
        <b/>
        <sz val="13"/>
        <color indexed="10"/>
        <rFont val="Angsana New"/>
        <family val="1"/>
      </rPr>
      <t>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</si>
  <si>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3
</t>
    </r>
    <r>
      <rPr>
        <b/>
        <sz val="13"/>
        <color indexed="1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</si>
  <si>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2
</t>
    </r>
    <r>
      <rPr>
        <b/>
        <sz val="13"/>
        <color indexed="10"/>
        <rFont val="Angsana New"/>
        <family val="1"/>
      </rPr>
      <t xml:space="preserve">งบประมาณทั้งสิ้น 10,000,000.00 บาท </t>
    </r>
  </si>
  <si>
    <t>PR2-2568:47/36</t>
  </si>
  <si>
    <t>RV00021000068090070</t>
  </si>
  <si>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3
</t>
    </r>
    <r>
      <rPr>
        <b/>
        <sz val="13"/>
        <color indexed="10"/>
        <rFont val="Angsana New"/>
        <family val="1"/>
      </rPr>
      <t xml:space="preserve">งบประมาณทั้งสิ้น 10,000,000.00 บาท </t>
    </r>
  </si>
  <si>
    <t>คณะสหวิทยาการและการประกอบการ</t>
  </si>
  <si>
    <t>01/07/2568 (RV 16,000)  และ 31/08/2568 (JV 144,000)</t>
  </si>
  <si>
    <t>RV00021000068070007 JV00021000068080045 JV00021000068080046 ลว.31/08/2568</t>
  </si>
  <si>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สำหรับเงินทุน
สนับสนุน เรื่อง โครงการการพัฒนาแผนที่
สุขภาวะและองค์ความรู้ด้านสุขภาพเบื้องต้น
ของชาวเลอูรักลาโว้ย ชุมชนโต๊ะบาหลิว 
อำเภอเกาลันตา จังหวัดกระบี่ (ตามสัญญา
ข้อตกลงเลขที่ 67-00-0225-18 รหัสโครงการ 
67-00285-18 โดยเริ่มตั้งแต่วันที่ 
15 กันยายน 2567 - 15 พฤษภาคม 2568) 
</t>
    </r>
    <r>
      <rPr>
        <b/>
        <sz val="13"/>
        <rFont val="Angsana New"/>
        <family val="1"/>
      </rPr>
      <t xml:space="preserve">งบประมาณทั้งสิ้น 160,000 บาท </t>
    </r>
  </si>
  <si>
    <t>31/10/2568</t>
  </si>
  <si>
    <t>PR2-2569:5/11</t>
  </si>
  <si>
    <t>RV00021000069100307</t>
  </si>
  <si>
    <t xml:space="preserve">สถาบันอุมศึกษาในเครือข่ายอุดมศึกษาภาคใต้
ตอนล่างร่วมกันจัดทำโครงการพัฒนาคุณภาพ
การศึกษาและการพัฒนาท้องถิ่นโดยมี
สถาบันอุดมศึกษาเป็นพี่เลี้ยง ประจำปี 2568 : 
ภายใต้โครงการการพัฒนารูปแบบการเรียน
การสอนวิชาพลศึกษาโดยใช้กิจกรรมทางกาย
บูรณาการกับกลุ่มสาระการเรียนรู้คณิตศาสตร์
และภาษาอังกฤษ ภายหลังจากสถานการณ์
โควิด 19 ในรูปแบบ PLC สู่สังคมที่ยั่งยืน 
ของนักเรียนระดับประถมศึกษาในโรงเรียน
ขนาดเล็กและขนาดกลาง เขตจังหวัดสงขลา 
พัทลุง งวดที่ 2 (ส่งมอบงาน 16/10/68) 
งบประมาณทั้งสิ้น 279,910 บาท </t>
  </si>
  <si>
    <t>ประจำปีงบประมาณ พ.ศ. 2569   ตั้งแต่วันที่  1  ตุลาคม  2568  ถึงวันที่  30  กันยายน  2569</t>
  </si>
  <si>
    <t>ต.ค.68</t>
  </si>
  <si>
    <t>พ.ย.68</t>
  </si>
  <si>
    <t>ธ.ค.68</t>
  </si>
  <si>
    <t>ม.ค.69</t>
  </si>
  <si>
    <t>ก.พ.69</t>
  </si>
  <si>
    <t>มี.ค.69</t>
  </si>
  <si>
    <t>เม.ย.69</t>
  </si>
  <si>
    <t>พ.ค.69</t>
  </si>
  <si>
    <t>มิ.ย.69</t>
  </si>
  <si>
    <t>ก.ค.69</t>
  </si>
  <si>
    <t>ส.ค.69</t>
  </si>
  <si>
    <t>ก.ย.69</t>
  </si>
  <si>
    <t xml:space="preserve">ประจำปีงบประมาณ พ.ศ. 2569   </t>
  </si>
  <si>
    <t>ประจำเดือนตุลาคม 2568</t>
  </si>
  <si>
    <t>ประจำเดือนพฤศจิกายน 2568</t>
  </si>
  <si>
    <t>ประจำเดือนธันวาคม 2568</t>
  </si>
  <si>
    <t>ประจำเดือนมกราคม 2569</t>
  </si>
  <si>
    <t>ประจำเดือนกุมภาพันธ์ 2569</t>
  </si>
  <si>
    <t>ประจำเดือนมีนาคม 2569</t>
  </si>
  <si>
    <t>ประจำเดือนเมษายน 2569</t>
  </si>
  <si>
    <t>ประจำเดือนพฤษภาคม 2569</t>
  </si>
  <si>
    <t>ประจำเดือนมิถุนายน 2569</t>
  </si>
  <si>
    <t>ประจำเดือนกรกฎาคม 2569</t>
  </si>
  <si>
    <t>ประจำเดือนสิงหาคม 2569</t>
  </si>
  <si>
    <t>ประจำเดือนกันยายน 2569</t>
  </si>
  <si>
    <t>04/11/2568</t>
  </si>
  <si>
    <t>PR2-2569:6/5</t>
  </si>
  <si>
    <t>RV00021000069110047</t>
  </si>
  <si>
    <t>18/11/2568</t>
  </si>
  <si>
    <t>PR2-2569:9/41</t>
  </si>
  <si>
    <t>RV00021000069110220</t>
  </si>
  <si>
    <t>20/11/2568</t>
  </si>
  <si>
    <t>PR2-2569:10/18</t>
  </si>
  <si>
    <t>RV00021000069110273</t>
  </si>
  <si>
    <t>RV00021000069110048</t>
  </si>
  <si>
    <t>PL2-2569:1/27</t>
  </si>
  <si>
    <t>RV00021000069110022</t>
  </si>
  <si>
    <t>PL2-2569:1/37</t>
  </si>
  <si>
    <t>RV00021000069110275</t>
  </si>
  <si>
    <t>PL2-2569:1/35</t>
  </si>
  <si>
    <t>RV00021000069110276</t>
  </si>
  <si>
    <t>PR2-2569:9/42</t>
  </si>
  <si>
    <t>PR2-2569:10/33</t>
  </si>
  <si>
    <t>PR2-2569:11/49</t>
  </si>
  <si>
    <t>รวมค่าธรรมเนียม</t>
  </si>
  <si>
    <t>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3
งบประมาณทั้งสิ้น 180,000 บาท</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</si>
  <si>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2
งบประมาณทั้งสิ้น 150,000 บาท</t>
  </si>
  <si>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4
งบประมาณทั้งสิ้น 500,000 บาท </t>
  </si>
  <si>
    <t>PR2-2569:6/4</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</si>
  <si>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1 
งบประมาณทั้งสิ้น 1,290,000 บาท</t>
  </si>
  <si>
    <t>RV00021000069110270
และ
RV00021000069110271</t>
  </si>
  <si>
    <t>คณะมนุษยศาสตร์และ
สังคมศาสตร์ โดยสัดส่วน
ค่าธรรมเนียมมอบให้
วิทยาลัยการจัดการเพื่อ
การพัฒนา</t>
  </si>
  <si>
    <t xml:space="preserve">ตามใบสั่งจ้างเลขที่ 494/2568 ว่าจ้าง
ดำเนินการโครงการสำรวจความพึงพอใจ
ของผู้บริการสาธารณะขององค์การบริการ
ส่วนจังหวัดสงขลา ประจำปีงบประมาณ 
พ.ศ.2568 
งบประมาณทั้งสิ้น 49,000 บาท </t>
  </si>
  <si>
    <t>26/11/2568</t>
  </si>
  <si>
    <t>RV00021000069110371
และ
RV00021000069110372</t>
  </si>
  <si>
    <t xml:space="preserve">ตามใบสั่งจ้างเลขที่ กจ.002/2568 ว่าจ้าง
ดำเนินการโครงการสำรวจความพึงพอใจ
ของผู้รับบริการที่มีต่อการให้บริการสาธารณะ
ขององค์การบริหารส่วนจังหวัดภูเก็ต 
งบประมาณทั้งสิ้น 77,514 บาท </t>
  </si>
  <si>
    <t>PR2-2569:13/25</t>
  </si>
  <si>
    <t>RV00021000069120140</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</si>
  <si>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2 
งบประมาณทั้งสิ้น 1,290,000 บาท</t>
  </si>
  <si>
    <t>PR2-2569:12/38</t>
  </si>
  <si>
    <t>RV00021000069120074</t>
  </si>
  <si>
    <t>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4-5
งบประมาณทั้งสิ้น 893,178 บาท</t>
  </si>
  <si>
    <t>03/11/2568</t>
  </si>
  <si>
    <t>องค์กรปกครองส่วนท้องถิ่น
จำนวน 25 หน่วยงาน</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</si>
  <si>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 2568 </t>
  </si>
  <si>
    <t>PL2-2569:2/8</t>
  </si>
  <si>
    <t>RV00021000069120127</t>
  </si>
  <si>
    <t>PR2-2569:13/30</t>
  </si>
  <si>
    <t>RV00021000069120154</t>
  </si>
  <si>
    <t>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3
วงเงินงบประมาณทั่งสิ้น 995,000 บาท</t>
  </si>
  <si>
    <t>RV00021000069110221
และ
RV00021000069110222</t>
  </si>
  <si>
    <t>องค์การบริหารส่วน
จังหวัดพัทลุง</t>
  </si>
  <si>
    <t xml:space="preserve">ตามหนังสือที่ พท 51007/1996 ว่าจ้างที่
ปรึกษาเพื่อดำเนินโครงการประเมินความ
พึงพอใจในการจัดบริการสาธารณะของ
องค์การบริหารส่วนจังหวัดพัทลุง 
งบประมาณทั้งสิ้น 50,000 บาท </t>
  </si>
  <si>
    <t>07/01/2569</t>
  </si>
  <si>
    <t>PR2-2569:17/8</t>
  </si>
  <si>
    <t>RV00021000069010081</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</si>
  <si>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3
งบประมาณทั้งสิ้น 150,000 บาท</t>
  </si>
  <si>
    <t>PR2-2569:17/5</t>
  </si>
  <si>
    <t>RV00021000069010084</t>
  </si>
  <si>
    <t>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4
งบประมาณทั้งสิ้น 465,000 บาท</t>
  </si>
  <si>
    <t>PR2-2569:17/7</t>
  </si>
  <si>
    <t>RV00021000069010082</t>
  </si>
  <si>
    <t>อาจารย์ ดร.อมาวสี รักเรือง</t>
  </si>
  <si>
    <t xml:space="preserve">ห้างหุ้นส่วนจำกัด ปรีชา
ฟาร์มบ้านนาเดิม </t>
  </si>
  <si>
    <t>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TSU69-CIN001 
ร่วมสนับสนุนทุนวิจัยภายใต้เรื่อง การพัฒนา
หม้อไอน้ำกะทัดรัดเชื้อเพลิง LPG สำหรับ
ฟาร์มเห็ดเชิงพาณิชย์ 
งบประมาณทั้งสิ้น 10,000 บาท</t>
  </si>
  <si>
    <t>13/01/2569</t>
  </si>
  <si>
    <t>PL2-2569:2/28</t>
  </si>
  <si>
    <t>RV00021000069010149</t>
  </si>
  <si>
    <t>20/01/2569</t>
  </si>
  <si>
    <t>PR2-2569:18/12</t>
  </si>
  <si>
    <t>RV00021000069010227</t>
  </si>
  <si>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3 
วงเงินงบประมาณทั่งสิ้น 1,250,000 บาท </t>
  </si>
  <si>
    <t>PR2-2569:18/11</t>
  </si>
  <si>
    <t>RV00021000069010228</t>
  </si>
  <si>
    <t xml:space="preserve">สำนักงานพัฒนา
การวิจัยการเกษตร 
(องค์การมหาชน) </t>
  </si>
  <si>
    <t>ตามสัญญาเลขที่ CRP6905030140 สัญญา
ให้ทุนอุดหนุนโครงการวิจัยการเกษตร เรื่อง 
การพัฒนากระบวนการผลิตซูริมิจากปลา
ดุกบิ๊กอุยด้วยวิธีดั้งเดิมและวิธีอัลตราโซนิก
และการพัฒนาผลิตภัณฑ์จากซูริมิเพื่อเพิ่ม
มูลค่าทางเศรษฐกิจ งวดที่ 1
งบประมาณทั้งสิ้น 1,750,000 บาท</t>
  </si>
  <si>
    <t>02/02/2569</t>
  </si>
  <si>
    <t>PR2-2569:20/28</t>
  </si>
  <si>
    <t>RV00021000069020024</t>
  </si>
  <si>
    <t>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3
วงเงินงบประมาณทั่งสิ้น 700,000 บาท</t>
  </si>
  <si>
    <t>05/02/2569</t>
  </si>
  <si>
    <t>PR2-2569:21/2</t>
  </si>
  <si>
    <t>RV00021000069020096</t>
  </si>
  <si>
    <t>อาจารย์ เสาวนีย์ เล็กบางพง</t>
  </si>
  <si>
    <t xml:space="preserve">บริษัท ทองแท้เครื่องแกง
บ้านห้วยรำพึง </t>
  </si>
  <si>
    <t xml:space="preserve">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TSU69-CIN002
ร่วมสนับสนุนทุนวิจัยภายใต้เรื่อง การสร้าง
มูลค่าเพิ่มผลิตภัณฑ์ไส้อั่วคั่วกลิ้งไก่คอล่อน : 
การต่อยอดอาหาร อัตลักษณ์ท้องถิ่นจังหวัด
พัทลุงสู่เชิงพาณิชย์ 
งบประมาณทั้งสิ้น 10,000 บาท </t>
  </si>
  <si>
    <t>12/02/2569</t>
  </si>
  <si>
    <t>PR2-2569:22/24</t>
  </si>
  <si>
    <t>RV00021000069020214</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</si>
  <si>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3 : ยกระดับพริกขาว
ชัยบุรี พืชคู่เคียงคนจน 
งบประมาณทั้งสิ้น 1,000,000 บาท</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</si>
  <si>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4 : เหลียงใบใหญ่ ต้นแบบ
นวัตกรรมเพื่อเศรษฐกิจฐานรากเชิงเทือกเขา
บรรทัด 
งบประมาณทั้งสิ้น 2,000,000 บาท</t>
  </si>
  <si>
    <t>PR2-2569:22/25</t>
  </si>
  <si>
    <t>RV00021000069020215</t>
  </si>
  <si>
    <t>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3 
งบประมาณทั่งสิ้น 2,435,000 บาท</t>
  </si>
  <si>
    <t>20/02/2569</t>
  </si>
  <si>
    <t>PR2-2569:23/47</t>
  </si>
  <si>
    <t>RV00021000069020301</t>
  </si>
  <si>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5
งบประมาณทั้งสิ้น 500,000 บาท </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</si>
  <si>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1 : อุตสาหกรรมกรีนคราฟ
แฟชั่นไลฟ์สไตส์ควนขนุนโมเดลแก้จน จังหวัด
พัทลุง 
งบประมาณทั้งสิ้น 1,400,000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</si>
  <si>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5 : บางแก้วโมเดล 
การยกระดับเศรษฐกิจครัวเรือนบน
ฐานประมงพื้นบ้าน 
งบประมาณทั้งสิ้น 1,700,000 บาท </t>
  </si>
  <si>
    <t>ส่งงวดสุดท้าย</t>
  </si>
  <si>
    <t>PR2-2569:23/48</t>
  </si>
  <si>
    <t>RV00021000069020303</t>
  </si>
  <si>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3 ส่งมอบงาน 
11 กุมภาพันธ์ 2569
วงเงินงบประมาณทั้งสิ้น 500,000 บาท </t>
  </si>
  <si>
    <t>PR2-2569:21/4</t>
  </si>
  <si>
    <t>RV00021000069020094</t>
  </si>
  <si>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3
งบประมาณทั่งสิ้น 1,000,000 บาท </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</si>
  <si>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2 : การสร้างโครงข่าย
ความปลอดภัยทางสังคมเพื่อยกระดับ
เศรษฐกิจชุมชนเกื้อกูลต้นแบบตาม
ฐานภูมินิเวศเขา-นาเล จังหวัดพัทลุง งบประมาณทั้งสิ้น 2,300,000 บาท</t>
  </si>
  <si>
    <t>PR2-2569:23/50</t>
  </si>
  <si>
    <t>RV00021000069020305</t>
  </si>
  <si>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5 
วงเงินงบประมาณทั่งสิ้น 604,000 บาท </t>
  </si>
  <si>
    <t>24/02/2569</t>
  </si>
  <si>
    <t>PR2-2569:24/23</t>
  </si>
  <si>
    <t>RV00021000069020363</t>
  </si>
  <si>
    <t>ผศ.ดร.วีระวุฒิ แนบเพชร</t>
  </si>
  <si>
    <t>บริษัท กลิสเท็น ดีไซน์ จำกัด</t>
  </si>
  <si>
    <t xml:space="preserve">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TSU69-CIN003 
ร่วมสนับสนุนทุนวิจัยภายใต้เรื่อง การ
ออกแบบและพัฒนาหนังไดโนเสาร์จาก
ยางพาราผสมเศษเหลือทางการเกษตร 
งบประมาณทั้งสิ้น 10,000 บาท </t>
  </si>
  <si>
    <t>PR2-2569:21/3</t>
  </si>
  <si>
    <t>RV00021000069020095</t>
  </si>
  <si>
    <t>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3
งบประมาณทั้งสิ้น 450,000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</si>
  <si>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6 : การยกระดับคุณภาพ
ชีวิตด้วยวิถีชุมชนสุขภาพและสมุนไพรบน
ฐานทรัพยากรวัฒนธรรมอำเภอเขาชัยสน 
จังหวัดพัทลุง 
งบประมาณทั้งสิ้น 1,800,000 บาท </t>
  </si>
  <si>
    <t>PR2-2569:23/49</t>
  </si>
  <si>
    <t>RV00021000069020304</t>
  </si>
  <si>
    <t>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2
วงเงินงบประมาณทั่งสิ้น 700,000 บาท</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</si>
  <si>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7 : การยกระดับ
อุตสาหกรรมชุมชนปลาดุกร้าภายใต้ BCG 
จังหวัดพัทลุง 
งบประมาณทั้งสิ้น 1,800,000 บาท</t>
  </si>
  <si>
    <t>PR2-2569:20/27</t>
  </si>
  <si>
    <t>RV00021000069020025 
และ 
RV00021000069020026</t>
  </si>
  <si>
    <t>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3
วงเงินงบประมาณทั่งสิ้น 550,000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</si>
  <si>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งบประมาณทั้งสิ้น 18,000,000 
โครงการหลัก (งบบริหาร)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2
งบบริหาร วงเงิน 4,500,000 บ. </t>
  </si>
  <si>
    <t>ตั้งแต่วันที่  1  ตุลาคม  2568  ถึงวันที่  31 มีนาคม 2569</t>
  </si>
  <si>
    <t>รวมทั้งปีงบประมาณ 2569 (1 ตุลาคม 2568 - 31 มีนาคม 2569)</t>
  </si>
  <si>
    <t>ประจำปีงบประมาณ พ.ศ. 2569   ตั้งแต่วันที่  1  ตุลาคม  2568  ถึงวันที่  31 มีนาคม 2569</t>
  </si>
  <si>
    <r>
      <rPr>
        <b/>
        <u/>
        <sz val="12"/>
        <rFont val="Angsana New"/>
        <family val="1"/>
      </rPr>
      <t>ยกเว้น</t>
    </r>
    <r>
      <rPr>
        <b/>
        <sz val="12"/>
        <rFont val="Angsana New"/>
        <family val="1"/>
      </rPr>
      <t xml:space="preserve">
ค่าธรรมเนียม
การวิจัย</t>
    </r>
  </si>
  <si>
    <t>27/03/2569</t>
  </si>
  <si>
    <t>PR2-2569:29/15</t>
  </si>
  <si>
    <t>RV00021000069030338</t>
  </si>
  <si>
    <t>ผศ.ดร.ศิริวรรณ ชูกำเนิด</t>
  </si>
  <si>
    <r>
      <t xml:space="preserve">ตามสัญญาเลขที่ N71A690119 สัญญาให้
ทุนอุดหนุนการวิจัยและนวัตกรรม ภายใต้
งานวิจัยเรื่อง การจัดการความรู้เพื่อพัฒนา
โมเดล Healthy Family และ Share Care 
ในการจัดการระบบอาหารและโภชนาการ
ของครัวเรือนกลุ่มเปราะบาง : กรณีศึกษา 
จังหวัดพัทลุง งวดที่ 1
</t>
    </r>
    <r>
      <rPr>
        <b/>
        <sz val="13"/>
        <color indexed="10"/>
        <rFont val="Angsana New"/>
        <family val="1"/>
      </rPr>
      <t>วงเงินงบประมาณทั่งสิ้น 500,000 บาท</t>
    </r>
    <r>
      <rPr>
        <sz val="13"/>
        <color indexed="8"/>
        <rFont val="Angsana New"/>
        <family val="1"/>
      </rPr>
      <t xml:space="preserve"> </t>
    </r>
  </si>
  <si>
    <t>12/03/2569</t>
  </si>
  <si>
    <t>PR2-2569:26/43</t>
  </si>
  <si>
    <t>RV00021000069030159</t>
  </si>
  <si>
    <t>อาจารย์ ดร.ปุญญวันต์ จิตประคอง</t>
  </si>
  <si>
    <r>
      <t xml:space="preserve">ตามสัญญาเลขที่ N42A690104 สัญญาให้
ทุนอุดหนุนการวิจัยและนวัตกรรม ภายใต้
งานวิจัยเรื่อง การจัดการภัยพิบัติแบบมี
ส่วนร่วม บทเรียนจากการสร้างรูปแบบ
การจัดการอุทกภัยของตำบลทะเลน้อยสู่
การพัฒนานวัตกรรมและการขยายผล
เครือข่ายชุมชนเพื่อรับมือภัยพิบัติใน
จังหวัดพัทลุง งวดที่ 1 
</t>
    </r>
    <r>
      <rPr>
        <b/>
        <sz val="13"/>
        <color indexed="10"/>
        <rFont val="Angsana New"/>
        <family val="1"/>
      </rPr>
      <t>วงเงินงบประมาณทั่งสิ้น 600,000 บาท</t>
    </r>
  </si>
  <si>
    <t>ยกเว้น
(การหักค่าใช้จ่ายทางอ้อม)</t>
  </si>
  <si>
    <t>PR2-2569:29/18</t>
  </si>
  <si>
    <t>RV00021000069030341</t>
  </si>
  <si>
    <r>
      <t xml:space="preserve">ตามสัญญาเลขที่ N71A690118 สัญญาให้
ทุนอุดหนุนการวิจัยและนวัตกรรม ภายใต้
งานวิจัยเรื่อง การประยุกต์ใช้นวดไทยเพื่อ
สุขภาพในการพัฒนาทักษะอาสาสมัคร
ชุมชนในการดูแลผู้สูงอายุ งวดที่ 1 
</t>
    </r>
    <r>
      <rPr>
        <b/>
        <sz val="13"/>
        <color indexed="10"/>
        <rFont val="Angsana New"/>
        <family val="1"/>
      </rPr>
      <t xml:space="preserve">วงเงินงบประมาณทั่งสิ้น 510,000 บาท </t>
    </r>
  </si>
  <si>
    <t>PR2-2569:29/16</t>
  </si>
  <si>
    <t>RV00021000069030339</t>
  </si>
  <si>
    <r>
      <t xml:space="preserve">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3 
</t>
    </r>
    <r>
      <rPr>
        <b/>
        <sz val="13"/>
        <color indexed="10"/>
        <rFont val="Angsana New"/>
        <family val="1"/>
      </rPr>
      <t>งบประมาณทั้งสิ้น 1,290,000 บาท</t>
    </r>
  </si>
  <si>
    <t>PR2-2569:29/17</t>
  </si>
  <si>
    <t>RV00021000069030340</t>
  </si>
  <si>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4
</t>
    </r>
    <r>
      <rPr>
        <b/>
        <sz val="13"/>
        <color indexed="10"/>
        <rFont val="Angsana New"/>
        <family val="1"/>
      </rPr>
      <t>วงเงินงบประมาณทั้งสิ้น 500,000 บาท</t>
    </r>
    <r>
      <rPr>
        <sz val="13"/>
        <color indexed="8"/>
        <rFont val="Angsana New"/>
        <family val="1"/>
      </rPr>
      <t xml:space="preserve"> </t>
    </r>
  </si>
  <si>
    <t>02/03/2569</t>
  </si>
  <si>
    <t>PR2-2569:25/12</t>
  </si>
  <si>
    <t>RV00021000069030019</t>
  </si>
  <si>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ในชุมชนงวดที่ 4 (โดยปิดโครงการและปรับแก้วงเงินงบประมาณคงเหลือเพียง 67,373.07 บ.)
</t>
    </r>
    <r>
      <rPr>
        <b/>
        <sz val="13"/>
        <color indexed="10"/>
        <rFont val="Angsana New"/>
        <family val="1"/>
      </rPr>
      <t xml:space="preserve">วงเงินงบประมาณทั้งสิ้น 1,700,000 บาท </t>
    </r>
  </si>
  <si>
    <t>PR2-2569:29/13</t>
  </si>
  <si>
    <t>RV00021000069030344</t>
  </si>
  <si>
    <r>
      <t xml:space="preserve">ตามบันทึกข้อตกลงสนับสนุนงบประมาณ
ความร่วมมือวิจัยทางวิชาการ (โครงการ
ส่งเสริมความร่วมมือการใช้ศักยภาพ
โครงสร้างพื้นฐานทางนิวเคลียร์และเครื่องมือ
วิจัย TINT to University ปีงบประมาณ 2568) 
ภายใต้โครงการ การเพิ่มประสิทธิภาพการผลิต
กระแสไฟฟ้าในเซลล์เชื้อเพลิงจุลินทรีย์ด้วยการ
ใช้แผ่นเมมเบรนนาโนเซลลูโลสหรือฟูคอยแดน
ที่เตรียมจากเทคนิคการฉายรังสีแกมมา 
งวดที่ 2 
</t>
    </r>
    <r>
      <rPr>
        <b/>
        <sz val="13"/>
        <color indexed="10"/>
        <rFont val="Angsana New"/>
        <family val="1"/>
      </rPr>
      <t>งบประมาณทั้งสิ้น 50,000 บาท</t>
    </r>
  </si>
  <si>
    <t>31/03/2569</t>
  </si>
  <si>
    <t>PR2-2569:29/29</t>
  </si>
  <si>
    <t>RV00021000069030429</t>
  </si>
  <si>
    <r>
      <t xml:space="preserve">ตามสัญญาเลขที่ C04F680156 ซึ่งเป็น
สัญญาให้ทุนโครงการ การสร้างมูลค่าของ
เสียเศษวัสดุจากกากตะกอนอุตสาหกรรม
ปาล์มน้ำมันและทางปาล์มน้ำมัน โดยใช้เป็นวัสดุทดแทนคุณภาพสูงในอุตสาหกรรมผลิต
ปุ๋ยอินทรีย์คาร์บอนต่ำ แผนงาน N5 (S1P4) 
ใช้นวัตกรรมสร้างรูปแบบธุรกิจใหม่จาก
โมเดลเศรษฐกิจหมุนเวียนและเศรษฐกิจคาร์บอนต่ำ งวดที่ 2 (จาก ผู้ร่วมทุน)
</t>
    </r>
    <r>
      <rPr>
        <b/>
        <sz val="13"/>
        <color indexed="10"/>
        <rFont val="Angsana New"/>
        <family val="1"/>
      </rPr>
      <t>งบประมาณทั้งสิ้น 1,445,000 บาท</t>
    </r>
  </si>
  <si>
    <t>หักใน
งวดที่ 2 
และงวดที่ 5
(จาก บพช.)</t>
  </si>
  <si>
    <t>PR2-2569:26/44</t>
  </si>
  <si>
    <t>RV00021000069030160</t>
  </si>
  <si>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3
</t>
    </r>
    <r>
      <rPr>
        <b/>
        <sz val="13"/>
        <color indexed="10"/>
        <rFont val="Angsana New"/>
        <family val="1"/>
      </rPr>
      <t>วงเงินงบประมาณทั่งสิ้น 500,000 บาท</t>
    </r>
  </si>
  <si>
    <t>30/03/2569</t>
  </si>
  <si>
    <t>PR2-2569:29/25</t>
  </si>
  <si>
    <t>RV00021000069030393</t>
  </si>
  <si>
    <r>
      <t xml:space="preserve">ตามสัญญาเลขที่ N42A690280 สัญญาให้
ทุนอุดหนุนการวิจัยและนวัตกรรม ภายใต้
งานวิจัยเรื่อง ประสิทธิภาพเชิงเปรียบเทียบ
และขีดจำกัดการทำงานของเทอร์โมไซฟอน
แบบท่อแบนหลายพอร์ตที่ใช้สารทำความเย็น 
R-1233zd(E) ที่มีค่า GWP ต่ำเพื่อการจัดการ
ความร้อนอย่ายั่งยืนในระบบทำความเย็น
อิเล็กทรอนิกส์ งวดที่ 1
</t>
    </r>
    <r>
      <rPr>
        <b/>
        <sz val="13"/>
        <color indexed="10"/>
        <rFont val="Angsana New"/>
        <family val="1"/>
      </rPr>
      <t>วงเงินงบประมาณทั่งสิ้น 600,000 บาท</t>
    </r>
    <r>
      <rPr>
        <sz val="13"/>
        <color indexed="8"/>
        <rFont val="Angsana New"/>
        <family val="1"/>
      </rPr>
      <t xml:space="preserve"> </t>
    </r>
  </si>
  <si>
    <t>PR2-2569:29/30</t>
  </si>
  <si>
    <t>RV00021000069030430</t>
  </si>
  <si>
    <r>
      <t xml:space="preserve">ตามสัญญาเลขที่ N71A690217 สัญญาให้
ทุนอุดหนุนการวิจัยและนวัตกรรม ภายใต้
งานวิจัยเรื่อง การจัดการองค์ความรู้ทักษะ
อาชีพที่เชื่อมโยงวิถีชีวิตชาวเล เพื่อการ
พึ่งตนเองตามหลักปรัชญา เศรษฐกิจพอเพียง 
จังหวัดฝั่งอันดามัน งวดที่ 1 
</t>
    </r>
    <r>
      <rPr>
        <b/>
        <sz val="13"/>
        <color indexed="10"/>
        <rFont val="Angsana New"/>
        <family val="1"/>
      </rPr>
      <t>วงเงินงบประมาณทั่งสิ้น 500,000 บาท</t>
    </r>
  </si>
  <si>
    <t>PR2-2569:25/8</t>
  </si>
  <si>
    <t>RV00021000069030007</t>
  </si>
  <si>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3
</t>
    </r>
    <r>
      <rPr>
        <b/>
        <sz val="13"/>
        <color indexed="10"/>
        <rFont val="Angsana New"/>
        <family val="1"/>
      </rPr>
      <t>วงเงินงบประมาณทั่งสิ้น 510,000 บาท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</si>
</sst>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dd/mm/yyyy"/>
    <numFmt numFmtId="188" formatCode="#,##0.00_ ;\-#,##0.00\ "/>
  </numFmts>
  <fonts count="81" x14ac:knownFonts="1">
    <font>
      <sz val="11"/>
      <color theme="1"/>
      <name val="Tahoma"/>
      <family val="2"/>
      <charset val="222"/>
      <scheme val="minor"/>
    </font>
    <font>
      <sz val="11"/>
      <color theme="1"/>
      <name val="Tahoma"/>
      <family val="2"/>
      <charset val="222"/>
      <scheme val="minor"/>
    </font>
    <font>
      <b/>
      <sz val="14"/>
      <color theme="1"/>
      <name val="Angsana New"/>
      <family val="1"/>
    </font>
    <font>
      <sz val="14"/>
      <color theme="1"/>
      <name val="Angsana New"/>
      <family val="1"/>
    </font>
    <font>
      <b/>
      <sz val="14"/>
      <name val="Angsana New"/>
      <family val="1"/>
    </font>
    <font>
      <sz val="14"/>
      <color rgb="FFFF0000"/>
      <name val="Angsana New"/>
      <family val="1"/>
    </font>
    <font>
      <b/>
      <sz val="9"/>
      <color indexed="81"/>
      <name val="Tahoma"/>
      <family val="2"/>
    </font>
    <font>
      <sz val="9"/>
      <color indexed="81"/>
      <name val="Tahoma"/>
      <family val="2"/>
    </font>
    <font>
      <b/>
      <sz val="13.5"/>
      <color theme="1"/>
      <name val="Angsana New"/>
      <family val="1"/>
    </font>
    <font>
      <sz val="13.5"/>
      <color theme="1"/>
      <name val="Angsana New"/>
      <family val="1"/>
    </font>
    <font>
      <b/>
      <sz val="13.5"/>
      <name val="Angsana New"/>
      <family val="1"/>
    </font>
    <font>
      <b/>
      <sz val="13.5"/>
      <color rgb="FF0000CC"/>
      <name val="Angsana New"/>
      <family val="1"/>
    </font>
    <font>
      <b/>
      <sz val="13.5"/>
      <color rgb="FFFF0000"/>
      <name val="Angsana New"/>
      <family val="1"/>
    </font>
    <font>
      <sz val="13.5"/>
      <color rgb="FFFF0000"/>
      <name val="Angsana New"/>
      <family val="1"/>
    </font>
    <font>
      <b/>
      <sz val="14.5"/>
      <color theme="1"/>
      <name val="TH SarabunPSK"/>
      <family val="2"/>
    </font>
    <font>
      <sz val="13"/>
      <color theme="1"/>
      <name val="TH SarabunPSK"/>
      <family val="2"/>
    </font>
    <font>
      <b/>
      <sz val="13"/>
      <color theme="1"/>
      <name val="TH SarabunPSK"/>
      <family val="2"/>
    </font>
    <font>
      <sz val="10"/>
      <name val="Arial"/>
      <family val="2"/>
    </font>
    <font>
      <b/>
      <sz val="13"/>
      <color rgb="FF000000"/>
      <name val="TH SarabunPSK"/>
      <family val="2"/>
    </font>
    <font>
      <b/>
      <u/>
      <sz val="13"/>
      <color theme="1"/>
      <name val="TH SarabunPSK"/>
      <family val="2"/>
    </font>
    <font>
      <b/>
      <sz val="13"/>
      <name val="TH SarabunPSK"/>
      <family val="2"/>
    </font>
    <font>
      <sz val="13"/>
      <color theme="1"/>
      <name val="Wingdings 2"/>
      <family val="1"/>
      <charset val="2"/>
    </font>
    <font>
      <sz val="14.5"/>
      <color theme="1"/>
      <name val="TH SarabunPSK"/>
      <family val="2"/>
    </font>
    <font>
      <b/>
      <sz val="18"/>
      <name val="Angsana New"/>
      <family val="1"/>
    </font>
    <font>
      <sz val="14"/>
      <name val="Angsana New"/>
      <family val="1"/>
    </font>
    <font>
      <b/>
      <sz val="14.5"/>
      <color theme="1"/>
      <name val="Cordia New"/>
      <family val="2"/>
    </font>
    <font>
      <sz val="13"/>
      <color theme="1"/>
      <name val="Cordia New"/>
      <family val="2"/>
    </font>
    <font>
      <b/>
      <sz val="13"/>
      <color theme="1"/>
      <name val="Cordia New"/>
      <family val="2"/>
    </font>
    <font>
      <b/>
      <sz val="13"/>
      <color rgb="FF000000"/>
      <name val="Cordia New"/>
      <family val="2"/>
    </font>
    <font>
      <b/>
      <u/>
      <sz val="13"/>
      <color theme="1"/>
      <name val="Cordia New"/>
      <family val="2"/>
    </font>
    <font>
      <b/>
      <sz val="13"/>
      <name val="Cordia New"/>
      <family val="2"/>
    </font>
    <font>
      <b/>
      <sz val="13"/>
      <color rgb="FFFF0000"/>
      <name val="Cordia New"/>
      <family val="2"/>
    </font>
    <font>
      <sz val="14.5"/>
      <color theme="1"/>
      <name val="Cordia New"/>
      <family val="2"/>
    </font>
    <font>
      <b/>
      <sz val="13"/>
      <color rgb="FF0000CC"/>
      <name val="Cordia New"/>
      <family val="2"/>
    </font>
    <font>
      <b/>
      <u/>
      <sz val="13"/>
      <color rgb="FFFF0000"/>
      <name val="Cordia New"/>
      <family val="2"/>
    </font>
    <font>
      <sz val="13"/>
      <name val="Cordia New"/>
      <family val="2"/>
    </font>
    <font>
      <sz val="10"/>
      <color indexed="8"/>
      <name val="Arial"/>
      <family val="2"/>
    </font>
    <font>
      <sz val="13"/>
      <color indexed="8"/>
      <name val="TH SarabunPSK"/>
      <family val="2"/>
    </font>
    <font>
      <b/>
      <sz val="13"/>
      <color indexed="8"/>
      <name val="TH SarabunPSK"/>
      <family val="2"/>
    </font>
    <font>
      <b/>
      <sz val="16"/>
      <color theme="1"/>
      <name val="Angsana New"/>
      <family val="1"/>
    </font>
    <font>
      <b/>
      <sz val="14"/>
      <color rgb="FF000000"/>
      <name val="Angsana New"/>
      <family val="1"/>
    </font>
    <font>
      <b/>
      <sz val="12"/>
      <color theme="1"/>
      <name val="Angsana New"/>
      <family val="1"/>
    </font>
    <font>
      <b/>
      <u/>
      <sz val="12"/>
      <color indexed="8"/>
      <name val="Angsana New"/>
      <family val="1"/>
    </font>
    <font>
      <b/>
      <sz val="12"/>
      <color indexed="8"/>
      <name val="Angsana New"/>
      <family val="1"/>
    </font>
    <font>
      <sz val="16"/>
      <color theme="1"/>
      <name val="Angsana New"/>
      <family val="1"/>
    </font>
    <font>
      <b/>
      <sz val="14.5"/>
      <color theme="1"/>
      <name val="Angsana New"/>
      <family val="1"/>
    </font>
    <font>
      <sz val="13"/>
      <color theme="1"/>
      <name val="Angsana New"/>
      <family val="1"/>
    </font>
    <font>
      <b/>
      <sz val="13"/>
      <color theme="1"/>
      <name val="Angsana New"/>
      <family val="1"/>
    </font>
    <font>
      <b/>
      <sz val="13"/>
      <color rgb="FF000000"/>
      <name val="Angsana New"/>
      <family val="1"/>
    </font>
    <font>
      <b/>
      <u/>
      <sz val="13"/>
      <color indexed="8"/>
      <name val="Angsana New"/>
      <family val="1"/>
    </font>
    <font>
      <b/>
      <sz val="13"/>
      <color indexed="8"/>
      <name val="Angsana New"/>
      <family val="1"/>
    </font>
    <font>
      <b/>
      <sz val="13"/>
      <color indexed="10"/>
      <name val="Angsana New"/>
      <family val="1"/>
    </font>
    <font>
      <b/>
      <sz val="13"/>
      <color rgb="FFFF0000"/>
      <name val="Angsana New"/>
      <family val="1"/>
    </font>
    <font>
      <sz val="13"/>
      <color indexed="8"/>
      <name val="Angsana New"/>
      <family val="1"/>
    </font>
    <font>
      <b/>
      <sz val="13"/>
      <name val="Angsana New"/>
      <family val="1"/>
    </font>
    <font>
      <sz val="13"/>
      <color indexed="10"/>
      <name val="Angsana New"/>
      <family val="1"/>
    </font>
    <font>
      <b/>
      <sz val="13"/>
      <color indexed="12"/>
      <name val="Angsana New"/>
      <family val="1"/>
    </font>
    <font>
      <sz val="14.5"/>
      <color theme="1"/>
      <name val="Angsana New"/>
      <family val="1"/>
    </font>
    <font>
      <sz val="13"/>
      <name val="Angsana New"/>
      <family val="1"/>
    </font>
    <font>
      <b/>
      <u/>
      <sz val="13"/>
      <name val="Angsana New"/>
      <family val="1"/>
    </font>
    <font>
      <b/>
      <sz val="11"/>
      <color rgb="FF000000"/>
      <name val="Angsana New"/>
      <family val="1"/>
    </font>
    <font>
      <b/>
      <i/>
      <sz val="13"/>
      <color indexed="8"/>
      <name val="Angsana New"/>
      <family val="1"/>
    </font>
    <font>
      <b/>
      <sz val="16"/>
      <name val="Angsana New"/>
      <family val="1"/>
    </font>
    <font>
      <sz val="16"/>
      <name val="Angsana New"/>
      <family val="1"/>
    </font>
    <font>
      <sz val="12"/>
      <color theme="1"/>
      <name val="Angsana New"/>
      <family val="1"/>
    </font>
    <font>
      <b/>
      <u/>
      <sz val="13"/>
      <color theme="1"/>
      <name val="Angsana New"/>
      <family val="1"/>
    </font>
    <font>
      <b/>
      <sz val="13"/>
      <color rgb="FF0000CC"/>
      <name val="Angsana New"/>
      <family val="1"/>
    </font>
    <font>
      <sz val="13"/>
      <color rgb="FFFF0000"/>
      <name val="Cordia New"/>
      <family val="2"/>
    </font>
    <font>
      <b/>
      <sz val="10"/>
      <color rgb="FFFF0000"/>
      <name val="Angsana New"/>
      <family val="1"/>
    </font>
    <font>
      <sz val="10"/>
      <color theme="1"/>
      <name val="Angsana New"/>
      <family val="1"/>
    </font>
    <font>
      <b/>
      <u/>
      <sz val="13"/>
      <color rgb="FFFF0000"/>
      <name val="Angsana New"/>
      <family val="1"/>
    </font>
    <font>
      <b/>
      <u/>
      <sz val="13"/>
      <color rgb="FF0000CC"/>
      <name val="Angsana New"/>
      <family val="1"/>
    </font>
    <font>
      <sz val="11"/>
      <name val="Angsana New"/>
      <family val="1"/>
    </font>
    <font>
      <sz val="12"/>
      <name val="Angsana New"/>
      <family val="1"/>
    </font>
    <font>
      <b/>
      <sz val="15"/>
      <name val="Angsana New"/>
      <family val="1"/>
    </font>
    <font>
      <b/>
      <sz val="14.5"/>
      <name val="Angsana New"/>
      <family val="1"/>
    </font>
    <font>
      <b/>
      <sz val="11"/>
      <name val="Angsana New"/>
      <family val="1"/>
    </font>
    <font>
      <b/>
      <u/>
      <sz val="13"/>
      <color indexed="12"/>
      <name val="Angsana New"/>
      <family val="1"/>
    </font>
    <font>
      <b/>
      <u/>
      <sz val="13"/>
      <color indexed="10"/>
      <name val="Angsana New"/>
      <family val="1"/>
    </font>
    <font>
      <b/>
      <sz val="12"/>
      <name val="Angsana New"/>
      <family val="1"/>
    </font>
    <font>
      <b/>
      <u/>
      <sz val="12"/>
      <name val="Angsana New"/>
      <family val="1"/>
    </font>
  </fonts>
  <fills count="24">
    <fill>
      <patternFill patternType="none"/>
    </fill>
    <fill>
      <patternFill patternType="gray125"/>
    </fill>
    <fill>
      <patternFill patternType="solid">
        <fgColor theme="6" tint="0.79998168889431442"/>
        <bgColor indexed="64"/>
      </patternFill>
    </fill>
    <fill>
      <patternFill patternType="solid">
        <fgColor rgb="FF0070C0"/>
        <bgColor indexed="64"/>
      </patternFill>
    </fill>
    <fill>
      <patternFill patternType="solid">
        <fgColor rgb="FFFFCCFF"/>
        <bgColor indexed="64"/>
      </patternFill>
    </fill>
    <fill>
      <patternFill patternType="solid">
        <fgColor rgb="FF7030A0"/>
        <bgColor indexed="64"/>
      </patternFill>
    </fill>
    <fill>
      <patternFill patternType="solid">
        <fgColor rgb="FF0000CC"/>
        <bgColor indexed="64"/>
      </patternFill>
    </fill>
    <fill>
      <patternFill patternType="solid">
        <fgColor rgb="FF99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0" tint="-0.249977111117893"/>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0" fontId="17" fillId="0" borderId="0"/>
    <xf numFmtId="0" fontId="36" fillId="0" borderId="0">
      <alignment vertical="top"/>
    </xf>
  </cellStyleXfs>
  <cellXfs count="807">
    <xf numFmtId="0" fontId="0" fillId="0" borderId="0" xfId="0"/>
    <xf numFmtId="0" fontId="3" fillId="0" borderId="0" xfId="0" applyFont="1"/>
    <xf numFmtId="0" fontId="3" fillId="0" borderId="0" xfId="0" applyFont="1" applyAlignment="1">
      <alignment horizontal="center"/>
    </xf>
    <xf numFmtId="43" fontId="3" fillId="0" borderId="0" xfId="1" applyFont="1"/>
    <xf numFmtId="0" fontId="2" fillId="0" borderId="0" xfId="0" applyFont="1" applyAlignment="1">
      <alignment horizontal="left"/>
    </xf>
    <xf numFmtId="0" fontId="3" fillId="0" borderId="0" xfId="0" applyFont="1" applyAlignment="1">
      <alignment horizontal="left"/>
    </xf>
    <xf numFmtId="0" fontId="8" fillId="0" borderId="1" xfId="0" applyFont="1" applyBorder="1" applyAlignment="1"/>
    <xf numFmtId="0" fontId="8" fillId="0" borderId="1" xfId="0" applyFont="1" applyBorder="1" applyAlignment="1">
      <alignment shrinkToFit="1"/>
    </xf>
    <xf numFmtId="0" fontId="9" fillId="0" borderId="0" xfId="0" applyFont="1"/>
    <xf numFmtId="43" fontId="8" fillId="3" borderId="2" xfId="1" applyFont="1" applyFill="1" applyBorder="1" applyAlignment="1">
      <alignment horizontal="center" vertical="center"/>
    </xf>
    <xf numFmtId="43" fontId="8" fillId="5" borderId="2" xfId="1" applyFont="1" applyFill="1" applyBorder="1" applyAlignment="1">
      <alignment horizontal="center"/>
    </xf>
    <xf numFmtId="0" fontId="8" fillId="6" borderId="2" xfId="0" applyFont="1" applyFill="1" applyBorder="1" applyAlignment="1">
      <alignment horizontal="center"/>
    </xf>
    <xf numFmtId="0" fontId="8" fillId="0" borderId="0" xfId="0" applyFont="1"/>
    <xf numFmtId="43" fontId="8" fillId="5" borderId="2" xfId="1" applyFont="1" applyFill="1" applyBorder="1" applyAlignment="1">
      <alignment horizontal="center" vertical="center" wrapText="1" shrinkToFit="1"/>
    </xf>
    <xf numFmtId="43" fontId="8" fillId="6" borderId="12" xfId="1" applyFont="1" applyFill="1" applyBorder="1" applyAlignment="1">
      <alignment horizontal="center"/>
    </xf>
    <xf numFmtId="43" fontId="8" fillId="4" borderId="6" xfId="1" applyFont="1" applyFill="1" applyBorder="1" applyAlignment="1">
      <alignment vertical="center" shrinkToFit="1"/>
    </xf>
    <xf numFmtId="43" fontId="8" fillId="5" borderId="2" xfId="1" applyFont="1" applyFill="1" applyBorder="1" applyAlignment="1">
      <alignment horizontal="center" vertical="center" shrinkToFit="1"/>
    </xf>
    <xf numFmtId="43" fontId="8" fillId="8" borderId="2" xfId="1" applyFont="1" applyFill="1" applyBorder="1" applyAlignment="1">
      <alignment horizontal="center" shrinkToFit="1"/>
    </xf>
    <xf numFmtId="43" fontId="8" fillId="8" borderId="2" xfId="1" applyFont="1" applyFill="1" applyBorder="1" applyAlignment="1">
      <alignment horizontal="center"/>
    </xf>
    <xf numFmtId="43" fontId="10" fillId="9" borderId="2" xfId="1" applyFont="1" applyFill="1" applyBorder="1" applyAlignment="1">
      <alignment horizontal="center" shrinkToFit="1"/>
    </xf>
    <xf numFmtId="43" fontId="10" fillId="9" borderId="2" xfId="1" applyFont="1" applyFill="1" applyBorder="1" applyAlignment="1">
      <alignment horizontal="center"/>
    </xf>
    <xf numFmtId="43" fontId="10" fillId="10" borderId="2" xfId="1" applyFont="1" applyFill="1" applyBorder="1" applyAlignment="1">
      <alignment horizontal="center" shrinkToFit="1"/>
    </xf>
    <xf numFmtId="43" fontId="8" fillId="10" borderId="2" xfId="1" applyFont="1" applyFill="1" applyBorder="1" applyAlignment="1">
      <alignment horizontal="center"/>
    </xf>
    <xf numFmtId="43" fontId="8" fillId="6" borderId="6" xfId="1" applyFont="1" applyFill="1" applyBorder="1" applyAlignment="1">
      <alignment horizontal="center"/>
    </xf>
    <xf numFmtId="14" fontId="8" fillId="0" borderId="9" xfId="0" applyNumberFormat="1" applyFont="1" applyBorder="1" applyAlignment="1">
      <alignment horizontal="center" vertical="center"/>
    </xf>
    <xf numFmtId="43" fontId="8" fillId="0" borderId="9" xfId="1" applyFont="1" applyBorder="1" applyAlignment="1">
      <alignment horizontal="center" vertical="center"/>
    </xf>
    <xf numFmtId="0" fontId="8" fillId="0" borderId="9" xfId="0" applyFont="1" applyBorder="1" applyAlignment="1">
      <alignment horizontal="center" vertical="center"/>
    </xf>
    <xf numFmtId="43" fontId="8" fillId="0" borderId="9" xfId="1" applyFont="1" applyBorder="1" applyAlignment="1">
      <alignment horizontal="center"/>
    </xf>
    <xf numFmtId="0" fontId="8" fillId="0" borderId="9" xfId="0" applyFont="1" applyBorder="1" applyAlignment="1">
      <alignment vertical="center"/>
    </xf>
    <xf numFmtId="43" fontId="8" fillId="3" borderId="9" xfId="1" applyFont="1" applyFill="1" applyBorder="1" applyAlignment="1">
      <alignment horizontal="center"/>
    </xf>
    <xf numFmtId="43" fontId="8" fillId="0" borderId="9" xfId="1" applyFont="1" applyFill="1" applyBorder="1" applyAlignment="1">
      <alignment horizontal="center"/>
    </xf>
    <xf numFmtId="43" fontId="8" fillId="5" borderId="9" xfId="1" applyFont="1" applyFill="1" applyBorder="1" applyAlignment="1">
      <alignment horizontal="center"/>
    </xf>
    <xf numFmtId="49" fontId="9" fillId="0" borderId="9" xfId="1" applyNumberFormat="1" applyFont="1" applyFill="1" applyBorder="1" applyAlignment="1">
      <alignment horizontal="center" shrinkToFit="1"/>
    </xf>
    <xf numFmtId="43" fontId="9" fillId="0" borderId="9" xfId="1" applyFont="1" applyFill="1" applyBorder="1" applyAlignment="1">
      <alignment horizontal="center"/>
    </xf>
    <xf numFmtId="49" fontId="8" fillId="0" borderId="9" xfId="1" applyNumberFormat="1" applyFont="1" applyFill="1" applyBorder="1" applyAlignment="1">
      <alignment horizontal="center" shrinkToFit="1"/>
    </xf>
    <xf numFmtId="43" fontId="8" fillId="6" borderId="9" xfId="1" applyFont="1" applyFill="1" applyBorder="1" applyAlignment="1">
      <alignment horizontal="center"/>
    </xf>
    <xf numFmtId="43" fontId="9" fillId="0" borderId="9" xfId="0" applyNumberFormat="1" applyFont="1" applyFill="1" applyBorder="1"/>
    <xf numFmtId="14" fontId="9" fillId="0" borderId="9" xfId="0" applyNumberFormat="1" applyFont="1" applyBorder="1" applyAlignment="1">
      <alignment horizontal="center" vertical="top"/>
    </xf>
    <xf numFmtId="14" fontId="9" fillId="0" borderId="9" xfId="0" applyNumberFormat="1" applyFont="1" applyBorder="1" applyAlignment="1">
      <alignment vertical="top"/>
    </xf>
    <xf numFmtId="14" fontId="9" fillId="0" borderId="9" xfId="0" applyNumberFormat="1" applyFont="1" applyBorder="1" applyAlignment="1">
      <alignment vertical="top" wrapText="1"/>
    </xf>
    <xf numFmtId="43" fontId="9" fillId="0" borderId="9" xfId="1" applyFont="1" applyBorder="1" applyAlignment="1">
      <alignment horizontal="left" vertical="top"/>
    </xf>
    <xf numFmtId="0" fontId="9" fillId="0" borderId="9" xfId="0" applyFont="1" applyBorder="1" applyAlignment="1">
      <alignment horizontal="center" vertical="top"/>
    </xf>
    <xf numFmtId="43" fontId="9" fillId="0" borderId="9" xfId="1" applyFont="1" applyBorder="1" applyAlignment="1">
      <alignment horizontal="center" vertical="top"/>
    </xf>
    <xf numFmtId="0" fontId="9" fillId="0" borderId="9" xfId="0" applyFont="1" applyBorder="1" applyAlignment="1">
      <alignment vertical="top" shrinkToFit="1"/>
    </xf>
    <xf numFmtId="43" fontId="9" fillId="3" borderId="9" xfId="1" applyFont="1" applyFill="1" applyBorder="1" applyAlignment="1">
      <alignment horizontal="center" vertical="top"/>
    </xf>
    <xf numFmtId="43" fontId="9" fillId="0" borderId="9" xfId="1" applyFont="1" applyFill="1" applyBorder="1" applyAlignment="1">
      <alignment horizontal="center" vertical="top"/>
    </xf>
    <xf numFmtId="43" fontId="9" fillId="5" borderId="9" xfId="1" applyFont="1" applyFill="1" applyBorder="1" applyAlignment="1">
      <alignment horizontal="center" vertical="top"/>
    </xf>
    <xf numFmtId="49" fontId="9" fillId="0" borderId="8" xfId="1" applyNumberFormat="1" applyFont="1" applyFill="1" applyBorder="1" applyAlignment="1">
      <alignment horizontal="center" vertical="top" shrinkToFit="1"/>
    </xf>
    <xf numFmtId="43" fontId="9" fillId="0" borderId="8" xfId="1" applyFont="1" applyFill="1" applyBorder="1" applyAlignment="1">
      <alignment horizontal="center" vertical="top"/>
    </xf>
    <xf numFmtId="49" fontId="9" fillId="0" borderId="9" xfId="1" applyNumberFormat="1" applyFont="1" applyFill="1" applyBorder="1" applyAlignment="1">
      <alignment horizontal="center" vertical="top" shrinkToFit="1"/>
    </xf>
    <xf numFmtId="43" fontId="9" fillId="6" borderId="9" xfId="1" applyFont="1" applyFill="1" applyBorder="1" applyAlignment="1">
      <alignment horizontal="center" vertical="top"/>
    </xf>
    <xf numFmtId="43" fontId="9" fillId="0" borderId="8" xfId="0" applyNumberFormat="1" applyFont="1" applyFill="1" applyBorder="1" applyAlignment="1">
      <alignment vertical="top"/>
    </xf>
    <xf numFmtId="0" fontId="9" fillId="0" borderId="0" xfId="0" applyFont="1" applyAlignment="1">
      <alignment vertical="top"/>
    </xf>
    <xf numFmtId="0" fontId="9" fillId="0" borderId="9" xfId="0" applyFont="1" applyBorder="1" applyAlignment="1">
      <alignment vertical="top"/>
    </xf>
    <xf numFmtId="14" fontId="11" fillId="0" borderId="9" xfId="0" applyNumberFormat="1" applyFont="1" applyBorder="1" applyAlignment="1">
      <alignment horizontal="center" vertical="top"/>
    </xf>
    <xf numFmtId="14" fontId="11" fillId="0" borderId="9" xfId="0" applyNumberFormat="1" applyFont="1" applyBorder="1" applyAlignment="1">
      <alignment vertical="top"/>
    </xf>
    <xf numFmtId="14" fontId="11" fillId="0" borderId="9" xfId="0" applyNumberFormat="1" applyFont="1" applyBorder="1" applyAlignment="1">
      <alignment vertical="top" wrapText="1"/>
    </xf>
    <xf numFmtId="43" fontId="11" fillId="0" borderId="9" xfId="1" applyFont="1" applyBorder="1" applyAlignment="1">
      <alignment horizontal="left" vertical="top"/>
    </xf>
    <xf numFmtId="0" fontId="11" fillId="0" borderId="9" xfId="0" applyFont="1" applyBorder="1" applyAlignment="1">
      <alignment horizontal="left" vertical="top"/>
    </xf>
    <xf numFmtId="43" fontId="11" fillId="0" borderId="9" xfId="1" applyFont="1" applyBorder="1" applyAlignment="1">
      <alignment horizontal="center" vertical="top"/>
    </xf>
    <xf numFmtId="0" fontId="11" fillId="0" borderId="9" xfId="0" applyFont="1" applyBorder="1" applyAlignment="1">
      <alignment vertical="top"/>
    </xf>
    <xf numFmtId="43" fontId="11" fillId="3" borderId="9" xfId="1" applyFont="1" applyFill="1" applyBorder="1" applyAlignment="1">
      <alignment horizontal="center" vertical="top"/>
    </xf>
    <xf numFmtId="43" fontId="11" fillId="0" borderId="9" xfId="1" applyFont="1" applyFill="1" applyBorder="1" applyAlignment="1">
      <alignment horizontal="center" vertical="top"/>
    </xf>
    <xf numFmtId="43" fontId="11" fillId="5" borderId="9" xfId="1" applyFont="1" applyFill="1" applyBorder="1" applyAlignment="1">
      <alignment horizontal="center" vertical="top"/>
    </xf>
    <xf numFmtId="49" fontId="11" fillId="0" borderId="8" xfId="1" applyNumberFormat="1" applyFont="1" applyFill="1" applyBorder="1" applyAlignment="1">
      <alignment horizontal="center" vertical="top" shrinkToFit="1"/>
    </xf>
    <xf numFmtId="43" fontId="11" fillId="0" borderId="8" xfId="1" applyFont="1" applyFill="1" applyBorder="1" applyAlignment="1">
      <alignment horizontal="center" vertical="top"/>
    </xf>
    <xf numFmtId="49" fontId="11" fillId="0" borderId="9" xfId="1" applyNumberFormat="1" applyFont="1" applyFill="1" applyBorder="1" applyAlignment="1">
      <alignment horizontal="center" vertical="top" shrinkToFit="1"/>
    </xf>
    <xf numFmtId="43" fontId="11" fillId="6" borderId="9" xfId="1" applyFont="1" applyFill="1" applyBorder="1" applyAlignment="1">
      <alignment horizontal="center" vertical="top"/>
    </xf>
    <xf numFmtId="43" fontId="11" fillId="0" borderId="8" xfId="0" applyNumberFormat="1" applyFont="1" applyFill="1" applyBorder="1" applyAlignment="1">
      <alignment vertical="top"/>
    </xf>
    <xf numFmtId="0" fontId="11" fillId="0" borderId="0" xfId="0" applyFont="1" applyAlignment="1">
      <alignment vertical="top"/>
    </xf>
    <xf numFmtId="14" fontId="9" fillId="0" borderId="9" xfId="0" applyNumberFormat="1" applyFont="1" applyBorder="1" applyAlignment="1">
      <alignment horizontal="center" vertical="center"/>
    </xf>
    <xf numFmtId="14" fontId="9" fillId="0" borderId="9" xfId="0" applyNumberFormat="1" applyFont="1" applyBorder="1" applyAlignment="1">
      <alignment vertical="center"/>
    </xf>
    <xf numFmtId="43" fontId="9" fillId="0" borderId="9" xfId="1" applyFont="1" applyBorder="1" applyAlignment="1">
      <alignment horizontal="center" vertical="center"/>
    </xf>
    <xf numFmtId="0" fontId="9" fillId="0" borderId="9" xfId="0" applyFont="1" applyBorder="1" applyAlignment="1">
      <alignment horizontal="center" vertical="center"/>
    </xf>
    <xf numFmtId="43" fontId="9" fillId="0" borderId="9" xfId="1" applyFont="1" applyBorder="1" applyAlignment="1">
      <alignment horizontal="center"/>
    </xf>
    <xf numFmtId="0" fontId="9" fillId="0" borderId="9" xfId="0" applyFont="1" applyBorder="1" applyAlignment="1">
      <alignment vertical="center"/>
    </xf>
    <xf numFmtId="43" fontId="9" fillId="3" borderId="9" xfId="1" applyFont="1" applyFill="1" applyBorder="1" applyAlignment="1">
      <alignment horizontal="center"/>
    </xf>
    <xf numFmtId="43" fontId="9" fillId="5" borderId="9" xfId="1" applyFont="1" applyFill="1" applyBorder="1" applyAlignment="1">
      <alignment horizontal="center"/>
    </xf>
    <xf numFmtId="49" fontId="9" fillId="0" borderId="8" xfId="1" applyNumberFormat="1" applyFont="1" applyFill="1" applyBorder="1" applyAlignment="1">
      <alignment horizontal="center" shrinkToFit="1"/>
    </xf>
    <xf numFmtId="43" fontId="9" fillId="0" borderId="8" xfId="1" applyFont="1" applyFill="1" applyBorder="1" applyAlignment="1">
      <alignment horizontal="center"/>
    </xf>
    <xf numFmtId="43" fontId="9" fillId="6" borderId="9" xfId="1" applyFont="1" applyFill="1" applyBorder="1" applyAlignment="1">
      <alignment horizontal="center"/>
    </xf>
    <xf numFmtId="43" fontId="9" fillId="0" borderId="8" xfId="0" applyNumberFormat="1" applyFont="1" applyFill="1" applyBorder="1"/>
    <xf numFmtId="0" fontId="8" fillId="0" borderId="11" xfId="0" applyFont="1" applyBorder="1" applyAlignment="1">
      <alignment horizontal="center"/>
    </xf>
    <xf numFmtId="43" fontId="8" fillId="0" borderId="11" xfId="1" applyFont="1" applyBorder="1"/>
    <xf numFmtId="43" fontId="12" fillId="0" borderId="11" xfId="0" applyNumberFormat="1" applyFont="1" applyBorder="1"/>
    <xf numFmtId="43" fontId="8" fillId="3" borderId="11" xfId="1" applyFont="1" applyFill="1" applyBorder="1"/>
    <xf numFmtId="43" fontId="8" fillId="5" borderId="11" xfId="1" applyFont="1" applyFill="1" applyBorder="1"/>
    <xf numFmtId="43" fontId="8" fillId="0" borderId="11" xfId="1" applyFont="1" applyBorder="1" applyAlignment="1">
      <alignment shrinkToFit="1"/>
    </xf>
    <xf numFmtId="0" fontId="8" fillId="0" borderId="11" xfId="0" applyFont="1" applyBorder="1" applyAlignment="1">
      <alignment shrinkToFit="1"/>
    </xf>
    <xf numFmtId="43" fontId="8" fillId="6" borderId="11" xfId="1" applyFont="1" applyFill="1" applyBorder="1"/>
    <xf numFmtId="0" fontId="9" fillId="0" borderId="0" xfId="0" applyFont="1" applyAlignment="1">
      <alignment horizontal="center"/>
    </xf>
    <xf numFmtId="43" fontId="9" fillId="0" borderId="0" xfId="1" applyFont="1"/>
    <xf numFmtId="43" fontId="13" fillId="0" borderId="0" xfId="1" applyFont="1"/>
    <xf numFmtId="0" fontId="9" fillId="0" borderId="0" xfId="0" applyFont="1" applyAlignment="1">
      <alignment shrinkToFit="1"/>
    </xf>
    <xf numFmtId="43" fontId="9" fillId="0" borderId="0" xfId="0" applyNumberFormat="1" applyFont="1"/>
    <xf numFmtId="14" fontId="9" fillId="0" borderId="2" xfId="0" applyNumberFormat="1" applyFont="1" applyBorder="1" applyAlignment="1">
      <alignment horizontal="left" vertical="top"/>
    </xf>
    <xf numFmtId="14" fontId="9" fillId="0" borderId="2" xfId="0" applyNumberFormat="1" applyFont="1" applyBorder="1" applyAlignment="1">
      <alignment horizontal="left" vertical="top" wrapText="1"/>
    </xf>
    <xf numFmtId="43" fontId="9" fillId="0" borderId="2" xfId="1" applyFont="1" applyBorder="1" applyAlignment="1">
      <alignment horizontal="left" vertical="top" wrapText="1"/>
    </xf>
    <xf numFmtId="0" fontId="9" fillId="0" borderId="2" xfId="0" applyFont="1" applyBorder="1" applyAlignment="1">
      <alignment horizontal="left" vertical="top"/>
    </xf>
    <xf numFmtId="43" fontId="9" fillId="0" borderId="2" xfId="1" applyFont="1" applyBorder="1" applyAlignment="1">
      <alignment horizontal="left" vertical="top"/>
    </xf>
    <xf numFmtId="0" fontId="9" fillId="0" borderId="9" xfId="0" applyFont="1" applyBorder="1" applyAlignment="1">
      <alignment horizontal="left" vertical="top" shrinkToFit="1"/>
    </xf>
    <xf numFmtId="43" fontId="9" fillId="3" borderId="9" xfId="1" applyFont="1" applyFill="1" applyBorder="1" applyAlignment="1">
      <alignment horizontal="left" vertical="top"/>
    </xf>
    <xf numFmtId="43" fontId="9" fillId="0" borderId="9" xfId="1" applyFont="1" applyFill="1" applyBorder="1" applyAlignment="1">
      <alignment horizontal="left" vertical="top"/>
    </xf>
    <xf numFmtId="43" fontId="9" fillId="5" borderId="9" xfId="1" applyFont="1" applyFill="1" applyBorder="1" applyAlignment="1">
      <alignment horizontal="left" vertical="top"/>
    </xf>
    <xf numFmtId="49" fontId="9" fillId="0" borderId="8" xfId="1" applyNumberFormat="1" applyFont="1" applyFill="1" applyBorder="1" applyAlignment="1">
      <alignment horizontal="left" vertical="top" shrinkToFit="1"/>
    </xf>
    <xf numFmtId="43" fontId="9" fillId="0" borderId="8" xfId="1" applyFont="1" applyFill="1" applyBorder="1" applyAlignment="1">
      <alignment horizontal="left" vertical="top"/>
    </xf>
    <xf numFmtId="49" fontId="9" fillId="0" borderId="9" xfId="1" applyNumberFormat="1" applyFont="1" applyFill="1" applyBorder="1" applyAlignment="1">
      <alignment horizontal="left" vertical="top" shrinkToFit="1"/>
    </xf>
    <xf numFmtId="43" fontId="9" fillId="6" borderId="9" xfId="1" applyFont="1" applyFill="1" applyBorder="1" applyAlignment="1">
      <alignment horizontal="left" vertical="top"/>
    </xf>
    <xf numFmtId="43" fontId="9" fillId="0" borderId="8" xfId="0" applyNumberFormat="1" applyFont="1" applyFill="1" applyBorder="1" applyAlignment="1">
      <alignment horizontal="left" vertical="top"/>
    </xf>
    <xf numFmtId="0" fontId="9" fillId="0" borderId="0" xfId="0" applyFont="1" applyAlignment="1">
      <alignment horizontal="left" vertical="top"/>
    </xf>
    <xf numFmtId="0" fontId="9" fillId="0" borderId="9" xfId="0" applyFont="1" applyBorder="1" applyAlignment="1">
      <alignment horizontal="left" vertical="top"/>
    </xf>
    <xf numFmtId="49" fontId="8" fillId="0" borderId="2"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0" fontId="15" fillId="0" borderId="0" xfId="0" applyFont="1"/>
    <xf numFmtId="0" fontId="15" fillId="0" borderId="0" xfId="0" applyFont="1" applyAlignment="1">
      <alignment horizontal="center" wrapText="1"/>
    </xf>
    <xf numFmtId="187" fontId="15" fillId="0" borderId="0" xfId="0" applyNumberFormat="1" applyFont="1" applyAlignment="1">
      <alignment horizontal="center" wrapText="1"/>
    </xf>
    <xf numFmtId="0" fontId="15" fillId="0" borderId="0" xfId="0" applyFont="1" applyAlignment="1">
      <alignment horizontal="left" wrapText="1"/>
    </xf>
    <xf numFmtId="0" fontId="15" fillId="0" borderId="0" xfId="0" applyFont="1" applyAlignment="1">
      <alignment wrapText="1"/>
    </xf>
    <xf numFmtId="43" fontId="15" fillId="0" borderId="0" xfId="1" applyFont="1" applyAlignment="1">
      <alignment wrapText="1"/>
    </xf>
    <xf numFmtId="4" fontId="18" fillId="11" borderId="14" xfId="2" applyNumberFormat="1"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vertical="top" wrapText="1"/>
    </xf>
    <xf numFmtId="0" fontId="16" fillId="11" borderId="2" xfId="0" applyFont="1" applyFill="1" applyBorder="1" applyAlignment="1">
      <alignment horizontal="center" vertical="top" wrapText="1"/>
    </xf>
    <xf numFmtId="0" fontId="20" fillId="9" borderId="4" xfId="0" applyNumberFormat="1" applyFont="1" applyFill="1" applyBorder="1" applyAlignment="1">
      <alignment horizontal="left" vertical="center"/>
    </xf>
    <xf numFmtId="187"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left" vertical="center"/>
    </xf>
    <xf numFmtId="0" fontId="20" fillId="9" borderId="13" xfId="0" applyNumberFormat="1" applyFont="1" applyFill="1" applyBorder="1" applyAlignment="1">
      <alignment vertical="center"/>
    </xf>
    <xf numFmtId="43" fontId="20" fillId="9" borderId="2" xfId="1" applyFont="1" applyFill="1" applyBorder="1" applyAlignment="1">
      <alignment vertical="center"/>
    </xf>
    <xf numFmtId="0" fontId="15" fillId="0" borderId="9" xfId="0" applyFont="1" applyBorder="1" applyAlignment="1">
      <alignment horizontal="center" vertical="top" wrapText="1"/>
    </xf>
    <xf numFmtId="187" fontId="15" fillId="0" borderId="9" xfId="0" applyNumberFormat="1" applyFont="1" applyBorder="1" applyAlignment="1">
      <alignment horizontal="center" vertical="top" shrinkToFit="1"/>
    </xf>
    <xf numFmtId="0" fontId="15" fillId="0" borderId="9" xfId="0" applyFont="1" applyBorder="1" applyAlignment="1">
      <alignment horizontal="center" vertical="top" shrinkToFit="1"/>
    </xf>
    <xf numFmtId="0" fontId="15" fillId="0" borderId="9" xfId="0" applyFont="1" applyBorder="1" applyAlignment="1">
      <alignment horizontal="center" vertical="top" wrapText="1" shrinkToFit="1"/>
    </xf>
    <xf numFmtId="0" fontId="15" fillId="0" borderId="9" xfId="0" applyFont="1" applyBorder="1" applyAlignment="1">
      <alignment horizontal="left" vertical="top" wrapText="1"/>
    </xf>
    <xf numFmtId="0" fontId="15" fillId="0" borderId="9" xfId="0" applyFont="1" applyBorder="1" applyAlignment="1">
      <alignment vertical="top" wrapText="1"/>
    </xf>
    <xf numFmtId="43" fontId="15" fillId="0" borderId="9" xfId="1" applyFont="1" applyBorder="1" applyAlignment="1">
      <alignment vertical="top" wrapText="1"/>
    </xf>
    <xf numFmtId="43" fontId="15" fillId="0" borderId="8" xfId="1" applyFont="1" applyBorder="1" applyAlignment="1">
      <alignment vertical="top" wrapText="1"/>
    </xf>
    <xf numFmtId="0" fontId="15" fillId="0" borderId="0" xfId="0" applyFont="1" applyAlignment="1">
      <alignment vertical="top" wrapText="1"/>
    </xf>
    <xf numFmtId="0" fontId="15" fillId="0" borderId="8" xfId="0" applyFont="1" applyBorder="1" applyAlignment="1">
      <alignment horizontal="center" vertical="top" wrapText="1"/>
    </xf>
    <xf numFmtId="187" fontId="15" fillId="0" borderId="8" xfId="0" applyNumberFormat="1" applyFont="1" applyBorder="1" applyAlignment="1">
      <alignment horizontal="center" vertical="top" shrinkToFit="1"/>
    </xf>
    <xf numFmtId="0" fontId="15" fillId="0" borderId="8" xfId="0" applyFont="1" applyBorder="1" applyAlignment="1">
      <alignment horizontal="center" vertical="top" wrapText="1" shrinkToFit="1"/>
    </xf>
    <xf numFmtId="0" fontId="15" fillId="0" borderId="8" xfId="0" applyFont="1" applyBorder="1" applyAlignment="1">
      <alignment horizontal="center" vertical="top" shrinkToFit="1"/>
    </xf>
    <xf numFmtId="0" fontId="15" fillId="0" borderId="8" xfId="0" applyFont="1" applyBorder="1" applyAlignment="1">
      <alignment horizontal="left" vertical="top" wrapText="1"/>
    </xf>
    <xf numFmtId="0" fontId="15" fillId="0" borderId="8" xfId="0" applyFont="1" applyBorder="1" applyAlignment="1">
      <alignment vertical="top" wrapText="1"/>
    </xf>
    <xf numFmtId="43" fontId="21" fillId="0" borderId="8" xfId="1" applyFont="1" applyBorder="1" applyAlignment="1">
      <alignment horizontal="center" vertical="top" wrapText="1"/>
    </xf>
    <xf numFmtId="0" fontId="15" fillId="0" borderId="3" xfId="0" applyFont="1" applyBorder="1" applyAlignment="1">
      <alignment horizontal="center" vertical="top"/>
    </xf>
    <xf numFmtId="187" fontId="15" fillId="0" borderId="3" xfId="0" applyNumberFormat="1" applyFont="1" applyBorder="1" applyAlignment="1">
      <alignment horizontal="center" vertical="top"/>
    </xf>
    <xf numFmtId="0" fontId="15" fillId="0" borderId="3" xfId="0" applyFont="1" applyBorder="1" applyAlignment="1">
      <alignment horizontal="left" vertical="top"/>
    </xf>
    <xf numFmtId="0" fontId="15" fillId="0" borderId="3" xfId="0" applyFont="1" applyBorder="1" applyAlignment="1">
      <alignment vertical="top" wrapText="1"/>
    </xf>
    <xf numFmtId="43" fontId="15" fillId="0" borderId="2" xfId="1" applyFont="1" applyBorder="1" applyAlignment="1">
      <alignment vertical="top"/>
    </xf>
    <xf numFmtId="0" fontId="15" fillId="0" borderId="0" xfId="0" applyFont="1" applyAlignment="1">
      <alignment vertical="top"/>
    </xf>
    <xf numFmtId="43" fontId="16" fillId="0" borderId="2" xfId="1" applyFont="1" applyBorder="1" applyAlignment="1">
      <alignment vertical="center" shrinkToFit="1"/>
    </xf>
    <xf numFmtId="0" fontId="16" fillId="0" borderId="0" xfId="0" applyFont="1" applyAlignment="1">
      <alignment vertical="center"/>
    </xf>
    <xf numFmtId="43" fontId="22" fillId="0" borderId="0" xfId="1" applyFont="1" applyBorder="1" applyAlignment="1">
      <alignment vertical="center"/>
    </xf>
    <xf numFmtId="0" fontId="15" fillId="0" borderId="0" xfId="0" applyFont="1" applyAlignment="1">
      <alignment horizontal="center"/>
    </xf>
    <xf numFmtId="187" fontId="15" fillId="0" borderId="0" xfId="0" applyNumberFormat="1" applyFont="1" applyAlignment="1">
      <alignment horizontal="center"/>
    </xf>
    <xf numFmtId="0" fontId="15" fillId="0" borderId="0" xfId="0" applyFont="1" applyAlignment="1">
      <alignment horizontal="left"/>
    </xf>
    <xf numFmtId="43" fontId="15" fillId="0" borderId="0" xfId="1" applyFont="1"/>
    <xf numFmtId="14" fontId="15" fillId="0" borderId="0" xfId="0" applyNumberFormat="1" applyFont="1" applyAlignment="1">
      <alignment horizontal="center" wrapText="1"/>
    </xf>
    <xf numFmtId="14" fontId="20" fillId="9" borderId="13" xfId="0" applyNumberFormat="1" applyFont="1" applyFill="1" applyBorder="1" applyAlignment="1">
      <alignment horizontal="center" vertical="center"/>
    </xf>
    <xf numFmtId="14" fontId="15" fillId="0" borderId="9" xfId="0" applyNumberFormat="1" applyFont="1" applyBorder="1" applyAlignment="1">
      <alignment horizontal="center" vertical="top" shrinkToFit="1"/>
    </xf>
    <xf numFmtId="14" fontId="15" fillId="0" borderId="8" xfId="0" applyNumberFormat="1" applyFont="1" applyBorder="1" applyAlignment="1">
      <alignment horizontal="center" vertical="top" shrinkToFit="1"/>
    </xf>
    <xf numFmtId="0" fontId="15" fillId="0" borderId="15" xfId="0" applyFont="1" applyBorder="1" applyAlignment="1">
      <alignment horizontal="left" vertical="top" wrapText="1"/>
    </xf>
    <xf numFmtId="0" fontId="15" fillId="0" borderId="7" xfId="0" applyFont="1" applyBorder="1" applyAlignment="1">
      <alignment horizontal="center" vertical="top" wrapText="1"/>
    </xf>
    <xf numFmtId="14" fontId="15" fillId="0" borderId="7" xfId="0" applyNumberFormat="1" applyFont="1" applyBorder="1" applyAlignment="1">
      <alignment horizontal="center" vertical="top" shrinkToFit="1"/>
    </xf>
    <xf numFmtId="0" fontId="15" fillId="0" borderId="7" xfId="0" applyFont="1" applyBorder="1" applyAlignment="1">
      <alignment horizontal="center" vertical="top" shrinkToFit="1"/>
    </xf>
    <xf numFmtId="0" fontId="15" fillId="0" borderId="7" xfId="0" applyFont="1" applyBorder="1" applyAlignment="1">
      <alignment horizontal="center" vertical="top" wrapText="1" shrinkToFit="1"/>
    </xf>
    <xf numFmtId="0" fontId="15" fillId="0" borderId="7" xfId="0" applyFont="1" applyBorder="1" applyAlignment="1">
      <alignment horizontal="left" vertical="top" wrapText="1"/>
    </xf>
    <xf numFmtId="0" fontId="15" fillId="0" borderId="7" xfId="0" applyFont="1" applyBorder="1" applyAlignment="1">
      <alignment vertical="top" wrapText="1"/>
    </xf>
    <xf numFmtId="43" fontId="15" fillId="0" borderId="7" xfId="1" applyFont="1" applyBorder="1" applyAlignment="1">
      <alignment vertical="top" wrapText="1"/>
    </xf>
    <xf numFmtId="43" fontId="16" fillId="0" borderId="8" xfId="1" applyFont="1" applyBorder="1" applyAlignment="1">
      <alignment horizontal="center" vertical="top" wrapText="1"/>
    </xf>
    <xf numFmtId="14" fontId="15" fillId="0" borderId="3" xfId="0" applyNumberFormat="1" applyFont="1" applyBorder="1" applyAlignment="1">
      <alignment horizontal="center" vertical="top"/>
    </xf>
    <xf numFmtId="14" fontId="15" fillId="0" borderId="0" xfId="0" applyNumberFormat="1" applyFont="1" applyAlignment="1">
      <alignment horizontal="center"/>
    </xf>
    <xf numFmtId="0" fontId="24" fillId="0" borderId="0" xfId="0" applyFont="1" applyFill="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0" xfId="0" applyFont="1" applyFill="1" applyAlignment="1">
      <alignment vertical="top"/>
    </xf>
    <xf numFmtId="43" fontId="4" fillId="0" borderId="2" xfId="1" applyFont="1" applyFill="1" applyBorder="1" applyAlignment="1">
      <alignment horizontal="center" vertical="top"/>
    </xf>
    <xf numFmtId="14" fontId="24" fillId="0" borderId="2" xfId="0" applyNumberFormat="1" applyFont="1" applyFill="1" applyBorder="1" applyAlignment="1">
      <alignment horizontal="center" vertical="top"/>
    </xf>
    <xf numFmtId="0" fontId="24" fillId="0" borderId="2" xfId="0" applyFont="1" applyFill="1" applyBorder="1" applyAlignment="1">
      <alignment horizontal="center" vertical="top"/>
    </xf>
    <xf numFmtId="0" fontId="24" fillId="0" borderId="2" xfId="0" applyFont="1" applyFill="1" applyBorder="1" applyAlignment="1">
      <alignment vertical="top"/>
    </xf>
    <xf numFmtId="0" fontId="24" fillId="0" borderId="2" xfId="0" applyFont="1" applyFill="1" applyBorder="1" applyAlignment="1">
      <alignment vertical="top" wrapText="1"/>
    </xf>
    <xf numFmtId="43" fontId="24" fillId="0" borderId="2" xfId="0" applyNumberFormat="1" applyFont="1" applyFill="1" applyBorder="1" applyAlignment="1">
      <alignment horizontal="center" vertical="top"/>
    </xf>
    <xf numFmtId="14" fontId="24" fillId="0" borderId="2" xfId="0" applyNumberFormat="1" applyFont="1" applyFill="1" applyBorder="1" applyAlignment="1">
      <alignment horizontal="left" vertical="top"/>
    </xf>
    <xf numFmtId="0" fontId="24" fillId="0" borderId="2" xfId="0" applyFont="1" applyFill="1" applyBorder="1" applyAlignment="1">
      <alignment horizontal="left" vertical="top" wrapText="1"/>
    </xf>
    <xf numFmtId="43" fontId="24" fillId="0" borderId="2" xfId="1" applyFont="1" applyFill="1" applyBorder="1" applyAlignment="1">
      <alignment horizontal="center" vertical="top"/>
    </xf>
    <xf numFmtId="43" fontId="24" fillId="0" borderId="2" xfId="1" applyFont="1" applyFill="1" applyBorder="1" applyAlignment="1">
      <alignment vertical="top"/>
    </xf>
    <xf numFmtId="0" fontId="24" fillId="0" borderId="0" xfId="0" applyFont="1" applyFill="1" applyAlignment="1">
      <alignment vertical="top"/>
    </xf>
    <xf numFmtId="0" fontId="24" fillId="0" borderId="2" xfId="0" applyNumberFormat="1" applyFont="1" applyFill="1" applyBorder="1" applyAlignment="1">
      <alignment vertical="top" wrapText="1"/>
    </xf>
    <xf numFmtId="0" fontId="24" fillId="0" borderId="2" xfId="0" applyFont="1" applyBorder="1" applyAlignment="1">
      <alignment vertical="top"/>
    </xf>
    <xf numFmtId="43" fontId="24" fillId="0" borderId="2" xfId="1" applyFont="1" applyFill="1" applyBorder="1" applyAlignment="1">
      <alignment horizontal="left" vertical="top"/>
    </xf>
    <xf numFmtId="0" fontId="24" fillId="0" borderId="2" xfId="0" applyFont="1" applyBorder="1" applyAlignment="1">
      <alignment horizontal="center" vertical="top"/>
    </xf>
    <xf numFmtId="0" fontId="24" fillId="0" borderId="2" xfId="0" applyFont="1" applyBorder="1" applyAlignment="1">
      <alignment vertical="top" wrapText="1"/>
    </xf>
    <xf numFmtId="43" fontId="5" fillId="0" borderId="2" xfId="1" applyFont="1" applyFill="1" applyBorder="1" applyAlignment="1">
      <alignment vertical="top"/>
    </xf>
    <xf numFmtId="0" fontId="24" fillId="0" borderId="2" xfId="0" applyFont="1" applyFill="1" applyBorder="1" applyAlignment="1">
      <alignment horizontal="center" vertical="top" wrapText="1"/>
    </xf>
    <xf numFmtId="0" fontId="4" fillId="0" borderId="11" xfId="0" applyFont="1" applyFill="1" applyBorder="1" applyAlignment="1">
      <alignment horizontal="center" vertical="top"/>
    </xf>
    <xf numFmtId="0" fontId="4" fillId="0" borderId="11" xfId="0" applyFont="1" applyFill="1" applyBorder="1" applyAlignment="1">
      <alignment horizontal="center" vertical="top" wrapText="1"/>
    </xf>
    <xf numFmtId="43" fontId="4" fillId="0" borderId="11" xfId="1" applyFont="1" applyFill="1" applyBorder="1" applyAlignment="1">
      <alignment vertical="top"/>
    </xf>
    <xf numFmtId="0" fontId="24" fillId="0" borderId="0" xfId="0" applyFont="1" applyFill="1" applyAlignment="1">
      <alignment horizontal="center" vertical="top" wrapText="1"/>
    </xf>
    <xf numFmtId="43" fontId="24" fillId="0" borderId="0" xfId="1" applyFont="1" applyFill="1" applyAlignment="1">
      <alignment vertical="top"/>
    </xf>
    <xf numFmtId="0" fontId="4" fillId="0" borderId="0" xfId="0" applyFont="1" applyFill="1" applyAlignment="1">
      <alignment horizontal="left" vertical="top"/>
    </xf>
    <xf numFmtId="0" fontId="24" fillId="0" borderId="0" xfId="0" applyFont="1" applyFill="1" applyAlignment="1">
      <alignment horizontal="left" vertical="top" wrapText="1"/>
    </xf>
    <xf numFmtId="49" fontId="24" fillId="0" borderId="0" xfId="0" quotePrefix="1" applyNumberFormat="1" applyFont="1" applyFill="1" applyAlignment="1">
      <alignment vertical="top"/>
    </xf>
    <xf numFmtId="49" fontId="24" fillId="0" borderId="0" xfId="0" quotePrefix="1" applyNumberFormat="1" applyFont="1" applyFill="1" applyAlignment="1">
      <alignment horizontal="center" vertical="top" wrapText="1"/>
    </xf>
    <xf numFmtId="0" fontId="2" fillId="0" borderId="1" xfId="0" applyFont="1" applyBorder="1" applyAlignment="1"/>
    <xf numFmtId="0" fontId="26" fillId="0" borderId="0" xfId="0" applyFont="1"/>
    <xf numFmtId="0" fontId="26" fillId="0" borderId="0" xfId="0" applyFont="1" applyAlignment="1">
      <alignment horizontal="center" wrapText="1"/>
    </xf>
    <xf numFmtId="187" fontId="26" fillId="0" borderId="0" xfId="0" applyNumberFormat="1" applyFont="1" applyAlignment="1">
      <alignment horizontal="center" wrapText="1"/>
    </xf>
    <xf numFmtId="0" fontId="26" fillId="0" borderId="0" xfId="0" applyFont="1" applyAlignment="1">
      <alignment horizontal="left" wrapText="1"/>
    </xf>
    <xf numFmtId="0" fontId="26" fillId="0" borderId="0" xfId="0" applyFont="1" applyAlignment="1">
      <alignment wrapText="1"/>
    </xf>
    <xf numFmtId="43" fontId="26" fillId="0" borderId="0" xfId="1" applyFont="1" applyAlignment="1">
      <alignment wrapText="1"/>
    </xf>
    <xf numFmtId="0" fontId="27" fillId="0" borderId="0" xfId="0" applyFont="1" applyAlignment="1">
      <alignment vertical="center" wrapText="1"/>
    </xf>
    <xf numFmtId="0" fontId="27" fillId="0" borderId="0" xfId="0" applyFont="1" applyAlignment="1">
      <alignment wrapText="1"/>
    </xf>
    <xf numFmtId="0" fontId="27" fillId="0" borderId="0" xfId="0" applyFont="1" applyAlignment="1">
      <alignment vertical="top" wrapText="1"/>
    </xf>
    <xf numFmtId="0" fontId="27" fillId="11" borderId="2" xfId="0" applyFont="1" applyFill="1" applyBorder="1" applyAlignment="1">
      <alignment horizontal="center" vertical="top" wrapText="1"/>
    </xf>
    <xf numFmtId="0" fontId="30" fillId="9" borderId="25" xfId="0" applyNumberFormat="1" applyFont="1" applyFill="1" applyBorder="1" applyAlignment="1">
      <alignment horizontal="left" vertical="center"/>
    </xf>
    <xf numFmtId="0" fontId="30" fillId="9" borderId="13" xfId="0" applyNumberFormat="1" applyFont="1" applyFill="1" applyBorder="1" applyAlignment="1">
      <alignment horizontal="center" vertical="center"/>
    </xf>
    <xf numFmtId="0" fontId="30" fillId="9" borderId="13" xfId="0" applyNumberFormat="1" applyFont="1" applyFill="1" applyBorder="1" applyAlignment="1">
      <alignment horizontal="left" vertical="center"/>
    </xf>
    <xf numFmtId="0" fontId="30" fillId="9" borderId="13" xfId="0" applyNumberFormat="1" applyFont="1" applyFill="1" applyBorder="1" applyAlignment="1">
      <alignment vertical="center"/>
    </xf>
    <xf numFmtId="43" fontId="30" fillId="9" borderId="2" xfId="1" applyFont="1" applyFill="1" applyBorder="1" applyAlignment="1">
      <alignment vertical="center"/>
    </xf>
    <xf numFmtId="0" fontId="26" fillId="0" borderId="26" xfId="0" applyFont="1" applyBorder="1" applyAlignment="1">
      <alignment horizontal="center" vertical="top" wrapText="1"/>
    </xf>
    <xf numFmtId="0" fontId="26" fillId="0" borderId="9" xfId="0" applyFont="1" applyBorder="1" applyAlignment="1">
      <alignment horizontal="center" vertical="top" wrapText="1" shrinkToFit="1"/>
    </xf>
    <xf numFmtId="0" fontId="26" fillId="0" borderId="9" xfId="0" applyFont="1" applyBorder="1" applyAlignment="1">
      <alignment horizontal="left" vertical="top" wrapText="1"/>
    </xf>
    <xf numFmtId="0" fontId="26" fillId="0" borderId="9" xfId="0" applyFont="1" applyBorder="1" applyAlignment="1">
      <alignment vertical="top" wrapText="1"/>
    </xf>
    <xf numFmtId="43" fontId="26" fillId="0" borderId="9" xfId="1" applyFont="1" applyBorder="1" applyAlignment="1">
      <alignment vertical="top" wrapText="1"/>
    </xf>
    <xf numFmtId="43" fontId="26" fillId="0" borderId="8" xfId="1" applyFont="1" applyBorder="1" applyAlignment="1">
      <alignment vertical="top" wrapText="1"/>
    </xf>
    <xf numFmtId="43" fontId="26" fillId="0" borderId="27" xfId="1" applyFont="1" applyBorder="1" applyAlignment="1">
      <alignment vertical="top" wrapText="1"/>
    </xf>
    <xf numFmtId="0" fontId="26" fillId="0" borderId="0" xfId="0" applyFont="1" applyAlignment="1">
      <alignment vertical="top" wrapText="1"/>
    </xf>
    <xf numFmtId="0" fontId="26" fillId="0" borderId="9" xfId="0" applyFont="1" applyBorder="1" applyAlignment="1">
      <alignment horizontal="center" vertical="top" shrinkToFit="1"/>
    </xf>
    <xf numFmtId="0" fontId="26" fillId="0" borderId="8" xfId="0" applyFont="1" applyBorder="1" applyAlignment="1">
      <alignment horizontal="center" vertical="top" wrapText="1" shrinkToFit="1"/>
    </xf>
    <xf numFmtId="0" fontId="26" fillId="0" borderId="8" xfId="0" applyFont="1" applyBorder="1" applyAlignment="1">
      <alignment horizontal="left" vertical="top" wrapText="1"/>
    </xf>
    <xf numFmtId="0" fontId="26" fillId="0" borderId="8" xfId="0" applyFont="1" applyBorder="1" applyAlignment="1">
      <alignment vertical="top" wrapText="1"/>
    </xf>
    <xf numFmtId="43" fontId="26" fillId="0" borderId="28" xfId="1" applyFont="1" applyBorder="1" applyAlignment="1">
      <alignment vertical="top" wrapText="1"/>
    </xf>
    <xf numFmtId="43" fontId="30" fillId="9" borderId="29" xfId="1" applyFont="1" applyFill="1" applyBorder="1" applyAlignment="1">
      <alignment vertical="center"/>
    </xf>
    <xf numFmtId="0" fontId="26" fillId="0" borderId="30" xfId="0" applyFont="1" applyBorder="1" applyAlignment="1">
      <alignment horizontal="center" vertical="top"/>
    </xf>
    <xf numFmtId="0" fontId="26" fillId="0" borderId="3" xfId="0" applyFont="1" applyBorder="1" applyAlignment="1">
      <alignment horizontal="center" vertical="top"/>
    </xf>
    <xf numFmtId="0" fontId="26" fillId="0" borderId="3" xfId="0" applyFont="1" applyBorder="1" applyAlignment="1">
      <alignment horizontal="left" vertical="top"/>
    </xf>
    <xf numFmtId="0" fontId="26" fillId="0" borderId="3" xfId="0" applyFont="1" applyBorder="1" applyAlignment="1">
      <alignment vertical="top" wrapText="1"/>
    </xf>
    <xf numFmtId="43" fontId="26" fillId="0" borderId="2" xfId="1" applyFont="1" applyBorder="1" applyAlignment="1">
      <alignment vertical="top"/>
    </xf>
    <xf numFmtId="43" fontId="26" fillId="0" borderId="29" xfId="1" applyFont="1" applyBorder="1" applyAlignment="1">
      <alignment vertical="top"/>
    </xf>
    <xf numFmtId="0" fontId="26" fillId="0" borderId="0" xfId="0" applyFont="1" applyAlignment="1">
      <alignment vertical="top"/>
    </xf>
    <xf numFmtId="43" fontId="27" fillId="0" borderId="34" xfId="1" applyFont="1" applyBorder="1" applyAlignment="1">
      <alignment vertical="center" shrinkToFit="1"/>
    </xf>
    <xf numFmtId="0" fontId="27" fillId="0" borderId="0" xfId="0" applyFont="1" applyAlignment="1">
      <alignment vertical="center"/>
    </xf>
    <xf numFmtId="43" fontId="32" fillId="0" borderId="0" xfId="1" applyFont="1" applyBorder="1" applyAlignment="1">
      <alignment vertical="center"/>
    </xf>
    <xf numFmtId="0" fontId="26" fillId="0" borderId="0" xfId="0" applyFont="1" applyAlignment="1">
      <alignment horizontal="center"/>
    </xf>
    <xf numFmtId="187" fontId="26" fillId="0" borderId="0" xfId="0" applyNumberFormat="1" applyFont="1" applyAlignment="1">
      <alignment horizontal="center"/>
    </xf>
    <xf numFmtId="0" fontId="26" fillId="0" borderId="0" xfId="0" applyFont="1" applyAlignment="1">
      <alignment horizontal="left"/>
    </xf>
    <xf numFmtId="43" fontId="26" fillId="0" borderId="0" xfId="1" applyFont="1"/>
    <xf numFmtId="0" fontId="26" fillId="0" borderId="8" xfId="0" applyFont="1" applyBorder="1" applyAlignment="1">
      <alignment horizontal="center" vertical="top" shrinkToFit="1"/>
    </xf>
    <xf numFmtId="14" fontId="26" fillId="0" borderId="0" xfId="0" applyNumberFormat="1" applyFont="1" applyAlignment="1">
      <alignment horizontal="center" wrapText="1"/>
    </xf>
    <xf numFmtId="14" fontId="30" fillId="9" borderId="13" xfId="0" applyNumberFormat="1" applyFont="1" applyFill="1" applyBorder="1" applyAlignment="1">
      <alignment horizontal="center" vertical="center"/>
    </xf>
    <xf numFmtId="14" fontId="26" fillId="0" borderId="9" xfId="0" applyNumberFormat="1" applyFont="1" applyBorder="1" applyAlignment="1">
      <alignment horizontal="center" vertical="top" shrinkToFit="1"/>
    </xf>
    <xf numFmtId="43" fontId="26" fillId="0" borderId="35" xfId="1" applyFont="1" applyBorder="1" applyAlignment="1">
      <alignment vertical="top" wrapText="1"/>
    </xf>
    <xf numFmtId="14" fontId="26" fillId="0" borderId="8" xfId="0" applyNumberFormat="1" applyFont="1" applyBorder="1" applyAlignment="1">
      <alignment horizontal="center" vertical="top" shrinkToFit="1"/>
    </xf>
    <xf numFmtId="43" fontId="26" fillId="0" borderId="28" xfId="1" applyFont="1" applyBorder="1" applyAlignment="1">
      <alignment horizontal="center" vertical="top" wrapText="1"/>
    </xf>
    <xf numFmtId="0" fontId="34" fillId="0" borderId="8" xfId="0" applyFont="1" applyBorder="1" applyAlignment="1">
      <alignment horizontal="center" vertical="top" wrapText="1" shrinkToFit="1"/>
    </xf>
    <xf numFmtId="0" fontId="26" fillId="0" borderId="36" xfId="0" applyFont="1" applyBorder="1" applyAlignment="1">
      <alignment horizontal="center" vertical="top" wrapText="1"/>
    </xf>
    <xf numFmtId="14" fontId="26" fillId="0" borderId="7" xfId="0" applyNumberFormat="1" applyFont="1" applyBorder="1" applyAlignment="1">
      <alignment horizontal="center" vertical="top" shrinkToFit="1"/>
    </xf>
    <xf numFmtId="0" fontId="26" fillId="0" borderId="7" xfId="0" applyFont="1" applyBorder="1" applyAlignment="1">
      <alignment horizontal="center" vertical="top" shrinkToFit="1"/>
    </xf>
    <xf numFmtId="0" fontId="26" fillId="0" borderId="7" xfId="0" applyFont="1" applyBorder="1" applyAlignment="1">
      <alignment horizontal="center" vertical="top" wrapText="1" shrinkToFit="1"/>
    </xf>
    <xf numFmtId="0" fontId="26" fillId="0" borderId="7" xfId="0" applyFont="1" applyBorder="1" applyAlignment="1">
      <alignment horizontal="left" vertical="top" wrapText="1"/>
    </xf>
    <xf numFmtId="0" fontId="26" fillId="0" borderId="7" xfId="0" applyFont="1" applyBorder="1" applyAlignment="1">
      <alignment vertical="top" wrapText="1"/>
    </xf>
    <xf numFmtId="43" fontId="26" fillId="0" borderId="7" xfId="1" applyFont="1" applyBorder="1" applyAlignment="1">
      <alignment vertical="top" wrapText="1"/>
    </xf>
    <xf numFmtId="0" fontId="26" fillId="0" borderId="8" xfId="0" applyFont="1" applyBorder="1" applyAlignment="1">
      <alignment horizontal="center" vertical="top" wrapText="1"/>
    </xf>
    <xf numFmtId="43" fontId="31" fillId="0" borderId="8" xfId="1" applyFont="1" applyBorder="1" applyAlignment="1">
      <alignment vertical="center"/>
    </xf>
    <xf numFmtId="43" fontId="31" fillId="0" borderId="8" xfId="1" applyFont="1" applyBorder="1" applyAlignment="1">
      <alignment vertical="top"/>
    </xf>
    <xf numFmtId="43" fontId="30" fillId="0" borderId="8" xfId="1" applyFont="1" applyBorder="1" applyAlignment="1">
      <alignment vertical="top"/>
    </xf>
    <xf numFmtId="43" fontId="35" fillId="0" borderId="8" xfId="1" applyFont="1" applyBorder="1" applyAlignment="1">
      <alignment vertical="top"/>
    </xf>
    <xf numFmtId="14" fontId="26" fillId="0" borderId="3" xfId="0" applyNumberFormat="1" applyFont="1" applyBorder="1" applyAlignment="1">
      <alignment horizontal="center" vertical="top"/>
    </xf>
    <xf numFmtId="43" fontId="27" fillId="12" borderId="34" xfId="1" applyFont="1" applyFill="1" applyBorder="1" applyAlignment="1">
      <alignment vertical="center" shrinkToFit="1"/>
    </xf>
    <xf numFmtId="14" fontId="26" fillId="0" borderId="0" xfId="0" applyNumberFormat="1" applyFont="1" applyAlignment="1">
      <alignment horizontal="center"/>
    </xf>
    <xf numFmtId="49" fontId="27" fillId="0" borderId="0" xfId="0" applyNumberFormat="1" applyFont="1" applyAlignment="1">
      <alignment horizontal="center"/>
    </xf>
    <xf numFmtId="0" fontId="27" fillId="0" borderId="0" xfId="0" applyFont="1" applyAlignment="1">
      <alignment horizontal="center"/>
    </xf>
    <xf numFmtId="0" fontId="27" fillId="0" borderId="0" xfId="0" applyFont="1"/>
    <xf numFmtId="43" fontId="27" fillId="0" borderId="0" xfId="1" applyFont="1"/>
    <xf numFmtId="43" fontId="27" fillId="0" borderId="0" xfId="0" applyNumberFormat="1" applyFont="1" applyAlignment="1">
      <alignment shrinkToFit="1"/>
    </xf>
    <xf numFmtId="43" fontId="27" fillId="0" borderId="37" xfId="0" applyNumberFormat="1" applyFont="1" applyBorder="1" applyAlignment="1">
      <alignment shrinkToFit="1"/>
    </xf>
    <xf numFmtId="0" fontId="37" fillId="0" borderId="38" xfId="3" applyFont="1" applyBorder="1" applyAlignment="1">
      <alignment horizontal="left" vertical="top"/>
    </xf>
    <xf numFmtId="0" fontId="37" fillId="0" borderId="39" xfId="3" applyFont="1" applyBorder="1" applyAlignment="1">
      <alignment horizontal="center" vertical="top"/>
    </xf>
    <xf numFmtId="0" fontId="37" fillId="0" borderId="39" xfId="3" applyFont="1" applyBorder="1" applyAlignment="1">
      <alignment vertical="top"/>
    </xf>
    <xf numFmtId="0" fontId="37" fillId="0" borderId="39" xfId="3" applyFont="1" applyBorder="1">
      <alignment vertical="top"/>
    </xf>
    <xf numFmtId="0" fontId="15" fillId="0" borderId="40" xfId="0" applyFont="1" applyBorder="1"/>
    <xf numFmtId="0" fontId="38" fillId="0" borderId="41" xfId="3" applyFont="1" applyBorder="1" applyAlignment="1">
      <alignment horizontal="left" vertical="top"/>
    </xf>
    <xf numFmtId="0" fontId="37" fillId="0" borderId="0" xfId="3" applyFont="1" applyBorder="1" applyAlignment="1">
      <alignment horizontal="center" vertical="top"/>
    </xf>
    <xf numFmtId="0" fontId="37" fillId="0" borderId="0" xfId="3" applyFont="1" applyBorder="1" applyAlignment="1">
      <alignment vertical="top"/>
    </xf>
    <xf numFmtId="0" fontId="37" fillId="0" borderId="0" xfId="3" applyFont="1" applyBorder="1">
      <alignment vertical="top"/>
    </xf>
    <xf numFmtId="0" fontId="15" fillId="0" borderId="42" xfId="0" applyFont="1" applyBorder="1"/>
    <xf numFmtId="0" fontId="37" fillId="0" borderId="41" xfId="3" applyFont="1" applyBorder="1" applyAlignment="1">
      <alignment horizontal="left" vertical="top"/>
    </xf>
    <xf numFmtId="43" fontId="37" fillId="0" borderId="0" xfId="3" applyNumberFormat="1" applyFont="1" applyBorder="1">
      <alignment vertical="top"/>
    </xf>
    <xf numFmtId="0" fontId="37" fillId="0" borderId="41" xfId="3" applyFont="1" applyBorder="1" applyAlignment="1">
      <alignment horizontal="center" vertical="top"/>
    </xf>
    <xf numFmtId="0" fontId="38" fillId="0" borderId="0" xfId="3" applyFont="1" applyBorder="1" applyAlignment="1">
      <alignment horizontal="left" vertical="top"/>
    </xf>
    <xf numFmtId="0" fontId="37" fillId="0" borderId="43" xfId="3" applyFont="1" applyBorder="1" applyAlignment="1">
      <alignment horizontal="left" vertical="top"/>
    </xf>
    <xf numFmtId="0" fontId="37" fillId="0" borderId="44" xfId="3" applyFont="1" applyBorder="1" applyAlignment="1">
      <alignment horizontal="center" vertical="top"/>
    </xf>
    <xf numFmtId="0" fontId="37" fillId="0" borderId="44" xfId="3" applyFont="1" applyBorder="1" applyAlignment="1">
      <alignment vertical="top"/>
    </xf>
    <xf numFmtId="0" fontId="37" fillId="0" borderId="44" xfId="3" applyFont="1" applyBorder="1">
      <alignment vertical="top"/>
    </xf>
    <xf numFmtId="0" fontId="15" fillId="0" borderId="45" xfId="0" applyFont="1" applyBorder="1"/>
    <xf numFmtId="49" fontId="3" fillId="0" borderId="0" xfId="0" quotePrefix="1" applyNumberFormat="1" applyFont="1" applyAlignment="1">
      <alignment horizontal="left"/>
    </xf>
    <xf numFmtId="0" fontId="39" fillId="0" borderId="0" xfId="0" applyFont="1"/>
    <xf numFmtId="0" fontId="3" fillId="0" borderId="0" xfId="0" applyFont="1" applyAlignment="1">
      <alignment horizontal="center" wrapText="1"/>
    </xf>
    <xf numFmtId="43" fontId="3" fillId="0" borderId="0" xfId="1" applyFont="1" applyAlignment="1">
      <alignment wrapText="1"/>
    </xf>
    <xf numFmtId="0" fontId="3" fillId="0" borderId="0" xfId="0" applyFont="1" applyAlignment="1">
      <alignment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top" wrapText="1"/>
    </xf>
    <xf numFmtId="0" fontId="41" fillId="19" borderId="2" xfId="0" applyFont="1" applyFill="1" applyBorder="1" applyAlignment="1">
      <alignment horizontal="center" vertical="top" wrapText="1"/>
    </xf>
    <xf numFmtId="0" fontId="41" fillId="2"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188" fontId="3" fillId="0" borderId="2" xfId="1" applyNumberFormat="1" applyFont="1" applyFill="1" applyBorder="1" applyAlignment="1">
      <alignment horizontal="right" vertical="center" wrapText="1"/>
    </xf>
    <xf numFmtId="0" fontId="3" fillId="0" borderId="0" xfId="0" applyFont="1" applyFill="1" applyAlignment="1">
      <alignment vertical="center" wrapText="1"/>
    </xf>
    <xf numFmtId="0" fontId="3" fillId="0" borderId="2" xfId="0" applyFont="1" applyFill="1" applyBorder="1" applyAlignment="1">
      <alignment horizontal="center" vertical="center"/>
    </xf>
    <xf numFmtId="188" fontId="3" fillId="0" borderId="2" xfId="1" applyNumberFormat="1" applyFont="1" applyFill="1" applyBorder="1" applyAlignment="1">
      <alignment horizontal="right" vertical="center"/>
    </xf>
    <xf numFmtId="0" fontId="3" fillId="0" borderId="0" xfId="0" applyFont="1" applyFill="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88" fontId="3" fillId="0" borderId="2" xfId="1" applyNumberFormat="1" applyFont="1" applyBorder="1" applyAlignment="1">
      <alignment horizontal="right" vertical="center"/>
    </xf>
    <xf numFmtId="0" fontId="3" fillId="0" borderId="0" xfId="0" applyFont="1" applyAlignment="1">
      <alignment vertical="center"/>
    </xf>
    <xf numFmtId="188" fontId="2" fillId="14" borderId="11" xfId="1" applyNumberFormat="1" applyFont="1" applyFill="1" applyBorder="1" applyAlignment="1">
      <alignment horizontal="right" shrinkToFit="1"/>
    </xf>
    <xf numFmtId="188" fontId="2" fillId="17" borderId="11" xfId="1" applyNumberFormat="1" applyFont="1" applyFill="1" applyBorder="1" applyAlignment="1">
      <alignment horizontal="right" shrinkToFit="1"/>
    </xf>
    <xf numFmtId="188" fontId="2" fillId="18" borderId="11" xfId="1" applyNumberFormat="1" applyFont="1" applyFill="1" applyBorder="1" applyAlignment="1">
      <alignment horizontal="right" shrinkToFit="1"/>
    </xf>
    <xf numFmtId="188" fontId="2" fillId="16" borderId="11" xfId="1" applyNumberFormat="1" applyFont="1" applyFill="1" applyBorder="1" applyAlignment="1">
      <alignment horizontal="right" shrinkToFit="1"/>
    </xf>
    <xf numFmtId="0" fontId="3" fillId="0" borderId="0" xfId="0" applyFont="1" applyAlignment="1"/>
    <xf numFmtId="0" fontId="44" fillId="0" borderId="0" xfId="0" applyFont="1" applyAlignment="1">
      <alignment horizontal="center"/>
    </xf>
    <xf numFmtId="43" fontId="44" fillId="0" borderId="0" xfId="1" applyFont="1"/>
    <xf numFmtId="0" fontId="44" fillId="0" borderId="0" xfId="0" applyFont="1"/>
    <xf numFmtId="0" fontId="44" fillId="0" borderId="0" xfId="0" applyFont="1" applyBorder="1" applyAlignment="1">
      <alignment horizontal="center" vertical="center"/>
    </xf>
    <xf numFmtId="43" fontId="44" fillId="0" borderId="0" xfId="1" applyFont="1" applyBorder="1" applyAlignment="1">
      <alignment vertical="center"/>
    </xf>
    <xf numFmtId="0" fontId="46" fillId="0" borderId="0" xfId="0" applyFont="1"/>
    <xf numFmtId="0" fontId="46" fillId="0" borderId="0" xfId="0" applyFont="1" applyAlignment="1">
      <alignment horizontal="center" wrapText="1"/>
    </xf>
    <xf numFmtId="187" fontId="46" fillId="0" borderId="0" xfId="0" applyNumberFormat="1" applyFont="1" applyAlignment="1">
      <alignment horizontal="center" wrapText="1"/>
    </xf>
    <xf numFmtId="0" fontId="46" fillId="0" borderId="0" xfId="0" applyFont="1" applyAlignment="1">
      <alignment horizontal="left" wrapText="1"/>
    </xf>
    <xf numFmtId="0" fontId="46" fillId="0" borderId="0" xfId="0" applyFont="1" applyAlignment="1">
      <alignment wrapText="1"/>
    </xf>
    <xf numFmtId="43" fontId="46" fillId="0" borderId="0" xfId="1" applyFont="1" applyAlignment="1">
      <alignment wrapText="1"/>
    </xf>
    <xf numFmtId="0" fontId="47" fillId="0" borderId="0" xfId="0" applyFont="1" applyAlignment="1">
      <alignment vertical="center" wrapText="1"/>
    </xf>
    <xf numFmtId="0" fontId="47" fillId="0" borderId="0" xfId="0" applyFont="1" applyAlignment="1">
      <alignment wrapText="1"/>
    </xf>
    <xf numFmtId="0" fontId="47" fillId="0" borderId="0" xfId="0" applyFont="1" applyAlignment="1">
      <alignment vertical="top" wrapText="1"/>
    </xf>
    <xf numFmtId="0" fontId="47" fillId="19" borderId="2" xfId="0" applyFont="1" applyFill="1" applyBorder="1" applyAlignment="1">
      <alignment horizontal="center" vertical="top" wrapText="1"/>
    </xf>
    <xf numFmtId="0" fontId="47" fillId="2" borderId="2" xfId="0" applyFont="1" applyFill="1" applyBorder="1" applyAlignment="1">
      <alignment horizontal="center" vertical="top" wrapText="1"/>
    </xf>
    <xf numFmtId="0" fontId="47" fillId="20" borderId="46" xfId="0" applyFont="1" applyFill="1" applyBorder="1" applyAlignment="1">
      <alignment horizontal="left" vertical="center"/>
    </xf>
    <xf numFmtId="187" fontId="47" fillId="20" borderId="2" xfId="0" applyNumberFormat="1" applyFont="1" applyFill="1" applyBorder="1" applyAlignment="1">
      <alignment horizontal="center" vertical="center" wrapText="1"/>
    </xf>
    <xf numFmtId="0" fontId="47" fillId="20" borderId="2" xfId="0" applyFont="1" applyFill="1" applyBorder="1" applyAlignment="1">
      <alignment horizontal="center" vertical="center" wrapText="1"/>
    </xf>
    <xf numFmtId="0" fontId="47" fillId="20" borderId="6" xfId="0" applyFont="1" applyFill="1" applyBorder="1" applyAlignment="1">
      <alignment horizontal="center" vertical="center" wrapText="1"/>
    </xf>
    <xf numFmtId="43" fontId="47" fillId="20" borderId="2" xfId="1" applyFont="1" applyFill="1" applyBorder="1" applyAlignment="1">
      <alignment horizontal="center" vertical="center" wrapText="1"/>
    </xf>
    <xf numFmtId="0" fontId="47" fillId="0" borderId="0" xfId="0" applyFont="1" applyFill="1" applyAlignment="1">
      <alignment vertical="center" wrapText="1"/>
    </xf>
    <xf numFmtId="0" fontId="47" fillId="0" borderId="0" xfId="0" applyFont="1" applyFill="1" applyAlignment="1">
      <alignment wrapText="1"/>
    </xf>
    <xf numFmtId="0" fontId="46" fillId="0" borderId="2" xfId="0" applyFont="1" applyFill="1" applyBorder="1" applyAlignment="1">
      <alignment horizontal="center" vertical="top"/>
    </xf>
    <xf numFmtId="187" fontId="46" fillId="0" borderId="2" xfId="0" applyNumberFormat="1" applyFont="1" applyFill="1" applyBorder="1" applyAlignment="1">
      <alignment horizontal="center" vertical="top" shrinkToFit="1"/>
    </xf>
    <xf numFmtId="0" fontId="46" fillId="0" borderId="2" xfId="0" applyFont="1" applyFill="1" applyBorder="1" applyAlignment="1">
      <alignment horizontal="center" vertical="top" shrinkToFit="1"/>
    </xf>
    <xf numFmtId="0" fontId="46" fillId="0" borderId="2" xfId="0" applyFont="1" applyFill="1" applyBorder="1" applyAlignment="1">
      <alignment horizontal="left" vertical="top"/>
    </xf>
    <xf numFmtId="0" fontId="46" fillId="0" borderId="2" xfId="0" applyFont="1" applyFill="1" applyBorder="1" applyAlignment="1">
      <alignment horizontal="left" vertical="top" wrapText="1"/>
    </xf>
    <xf numFmtId="0" fontId="46" fillId="0" borderId="2" xfId="0" applyFont="1" applyFill="1" applyBorder="1" applyAlignment="1">
      <alignment vertical="top" wrapText="1"/>
    </xf>
    <xf numFmtId="43" fontId="46" fillId="0" borderId="2" xfId="1" applyFont="1" applyFill="1" applyBorder="1" applyAlignment="1">
      <alignment vertical="top"/>
    </xf>
    <xf numFmtId="0" fontId="46" fillId="0" borderId="0" xfId="0" applyFont="1" applyFill="1" applyAlignment="1">
      <alignment vertical="top"/>
    </xf>
    <xf numFmtId="0" fontId="46" fillId="0" borderId="0" xfId="0" applyFont="1" applyFill="1" applyAlignment="1"/>
    <xf numFmtId="43" fontId="52" fillId="0" borderId="2" xfId="1" applyFont="1" applyFill="1" applyBorder="1" applyAlignment="1">
      <alignment horizontal="center" vertical="top"/>
    </xf>
    <xf numFmtId="0" fontId="47" fillId="20" borderId="2" xfId="0" applyFont="1" applyFill="1" applyBorder="1" applyAlignment="1">
      <alignment horizontal="left" vertical="top"/>
    </xf>
    <xf numFmtId="187" fontId="47" fillId="20" borderId="2" xfId="0" applyNumberFormat="1" applyFont="1" applyFill="1" applyBorder="1" applyAlignment="1">
      <alignment horizontal="center" vertical="top" shrinkToFit="1"/>
    </xf>
    <xf numFmtId="0" fontId="47" fillId="20" borderId="2" xfId="0" applyFont="1" applyFill="1" applyBorder="1" applyAlignment="1">
      <alignment horizontal="center" vertical="top" shrinkToFit="1"/>
    </xf>
    <xf numFmtId="0" fontId="47" fillId="20" borderId="2" xfId="0" applyFont="1" applyFill="1" applyBorder="1" applyAlignment="1">
      <alignment horizontal="center" vertical="top"/>
    </xf>
    <xf numFmtId="0" fontId="47" fillId="20" borderId="2" xfId="0" applyFont="1" applyFill="1" applyBorder="1" applyAlignment="1">
      <alignment horizontal="left" vertical="top" wrapText="1"/>
    </xf>
    <xf numFmtId="0" fontId="47" fillId="20" borderId="2" xfId="0" applyFont="1" applyFill="1" applyBorder="1" applyAlignment="1">
      <alignment vertical="top" wrapText="1"/>
    </xf>
    <xf numFmtId="43" fontId="47" fillId="20" borderId="2" xfId="1" applyFont="1" applyFill="1" applyBorder="1" applyAlignment="1">
      <alignment vertical="top"/>
    </xf>
    <xf numFmtId="43" fontId="54" fillId="0" borderId="2" xfId="1" applyFont="1" applyFill="1" applyBorder="1" applyAlignment="1">
      <alignment horizontal="center" vertical="top"/>
    </xf>
    <xf numFmtId="43" fontId="47" fillId="0" borderId="11" xfId="1" applyFont="1" applyFill="1" applyBorder="1" applyAlignment="1">
      <alignment shrinkToFit="1"/>
    </xf>
    <xf numFmtId="0" fontId="47" fillId="0" borderId="0" xfId="0" applyFont="1" applyFill="1" applyAlignment="1"/>
    <xf numFmtId="0" fontId="46" fillId="0" borderId="0" xfId="0" applyFont="1" applyAlignment="1">
      <alignment horizontal="center"/>
    </xf>
    <xf numFmtId="187" fontId="46" fillId="0" borderId="0" xfId="0" applyNumberFormat="1" applyFont="1" applyAlignment="1">
      <alignment horizontal="center"/>
    </xf>
    <xf numFmtId="0" fontId="46" fillId="0" borderId="0" xfId="0" applyFont="1" applyAlignment="1">
      <alignment horizontal="left"/>
    </xf>
    <xf numFmtId="43" fontId="46" fillId="0" borderId="0" xfId="1" applyFont="1"/>
    <xf numFmtId="43" fontId="57" fillId="0" borderId="0" xfId="1" applyFont="1" applyBorder="1" applyAlignment="1">
      <alignment vertical="center"/>
    </xf>
    <xf numFmtId="0" fontId="58" fillId="0" borderId="2" xfId="0" applyFont="1" applyFill="1" applyBorder="1" applyAlignment="1">
      <alignment horizontal="center" vertical="top"/>
    </xf>
    <xf numFmtId="0" fontId="24" fillId="0" borderId="0" xfId="0" applyFont="1" applyFill="1" applyAlignment="1">
      <alignment horizontal="left"/>
    </xf>
    <xf numFmtId="43" fontId="46" fillId="0" borderId="0" xfId="0" applyNumberFormat="1" applyFont="1" applyAlignment="1">
      <alignment wrapText="1"/>
    </xf>
    <xf numFmtId="0" fontId="58" fillId="0" borderId="2" xfId="0" applyFont="1" applyFill="1" applyBorder="1" applyAlignment="1">
      <alignment horizontal="left" vertical="top" wrapText="1"/>
    </xf>
    <xf numFmtId="0" fontId="58" fillId="0" borderId="2" xfId="0" applyFont="1" applyFill="1" applyBorder="1" applyAlignment="1">
      <alignment vertical="top" wrapText="1"/>
    </xf>
    <xf numFmtId="0" fontId="58" fillId="0" borderId="0" xfId="0" applyFont="1" applyFill="1" applyAlignment="1">
      <alignment vertical="top"/>
    </xf>
    <xf numFmtId="187" fontId="58" fillId="0" borderId="2" xfId="0" applyNumberFormat="1" applyFont="1" applyFill="1" applyBorder="1" applyAlignment="1">
      <alignment horizontal="center" vertical="top" shrinkToFit="1"/>
    </xf>
    <xf numFmtId="0" fontId="58" fillId="0" borderId="2" xfId="0" applyFont="1" applyFill="1" applyBorder="1" applyAlignment="1">
      <alignment horizontal="center" vertical="top" wrapText="1" shrinkToFit="1"/>
    </xf>
    <xf numFmtId="43" fontId="58" fillId="0" borderId="2" xfId="1" applyFont="1" applyFill="1" applyBorder="1" applyAlignment="1">
      <alignment vertical="top" wrapText="1"/>
    </xf>
    <xf numFmtId="43" fontId="3" fillId="0" borderId="0" xfId="1" applyFont="1" applyFill="1" applyAlignment="1">
      <alignment vertical="center" wrapText="1"/>
    </xf>
    <xf numFmtId="43" fontId="3" fillId="0" borderId="0" xfId="1" applyFont="1" applyFill="1" applyAlignment="1">
      <alignment vertical="center"/>
    </xf>
    <xf numFmtId="43" fontId="3" fillId="0" borderId="0" xfId="1" applyFont="1" applyAlignment="1">
      <alignment vertical="center"/>
    </xf>
    <xf numFmtId="43" fontId="3" fillId="0" borderId="0" xfId="1" applyFont="1" applyAlignment="1"/>
    <xf numFmtId="0" fontId="46" fillId="0" borderId="0" xfId="0" applyFont="1" applyAlignment="1"/>
    <xf numFmtId="0" fontId="47" fillId="0" borderId="0" xfId="0" applyFont="1" applyAlignment="1">
      <alignment vertical="center"/>
    </xf>
    <xf numFmtId="0" fontId="47" fillId="0" borderId="0" xfId="0" applyFont="1" applyAlignment="1"/>
    <xf numFmtId="0" fontId="47" fillId="0" borderId="0" xfId="0" applyFont="1" applyAlignment="1">
      <alignment vertical="top"/>
    </xf>
    <xf numFmtId="0" fontId="47" fillId="21" borderId="2" xfId="0" applyFont="1" applyFill="1" applyBorder="1" applyAlignment="1">
      <alignment horizontal="left" vertical="top"/>
    </xf>
    <xf numFmtId="187" fontId="47" fillId="21" borderId="2" xfId="0" applyNumberFormat="1" applyFont="1" applyFill="1" applyBorder="1" applyAlignment="1">
      <alignment horizontal="center" vertical="top" shrinkToFit="1"/>
    </xf>
    <xf numFmtId="0" fontId="47" fillId="21" borderId="2" xfId="0" applyFont="1" applyFill="1" applyBorder="1" applyAlignment="1">
      <alignment horizontal="center" vertical="top" wrapText="1" shrinkToFit="1"/>
    </xf>
    <xf numFmtId="0" fontId="47" fillId="21" borderId="2" xfId="0" applyFont="1" applyFill="1" applyBorder="1" applyAlignment="1">
      <alignment horizontal="left" vertical="top" wrapText="1"/>
    </xf>
    <xf numFmtId="0" fontId="47" fillId="21" borderId="2" xfId="0" applyFont="1" applyFill="1" applyBorder="1" applyAlignment="1">
      <alignment vertical="top" wrapText="1"/>
    </xf>
    <xf numFmtId="43" fontId="47" fillId="21" borderId="2" xfId="1" applyFont="1" applyFill="1" applyBorder="1" applyAlignment="1">
      <alignment vertical="top" wrapText="1"/>
    </xf>
    <xf numFmtId="43" fontId="47" fillId="21" borderId="2" xfId="1" applyFont="1" applyFill="1" applyBorder="1" applyAlignment="1">
      <alignment vertical="top"/>
    </xf>
    <xf numFmtId="0" fontId="47" fillId="0" borderId="0" xfId="0" applyFont="1" applyFill="1" applyAlignment="1">
      <alignment vertical="top"/>
    </xf>
    <xf numFmtId="0" fontId="46" fillId="0" borderId="2" xfId="0" applyFont="1" applyFill="1" applyBorder="1" applyAlignment="1">
      <alignment horizontal="center" vertical="top" wrapText="1" shrinkToFit="1"/>
    </xf>
    <xf numFmtId="43" fontId="46" fillId="0" borderId="2" xfId="1" applyFont="1" applyFill="1" applyBorder="1" applyAlignment="1">
      <alignment vertical="top" wrapText="1"/>
    </xf>
    <xf numFmtId="43" fontId="52" fillId="0" borderId="2" xfId="1" applyFont="1" applyFill="1" applyBorder="1" applyAlignment="1">
      <alignment horizontal="center" vertical="top" wrapText="1"/>
    </xf>
    <xf numFmtId="0" fontId="54" fillId="0" borderId="2" xfId="0" applyFont="1" applyFill="1" applyBorder="1" applyAlignment="1">
      <alignment horizontal="center" vertical="top" wrapText="1" shrinkToFit="1"/>
    </xf>
    <xf numFmtId="188" fontId="47" fillId="0" borderId="11" xfId="1" applyNumberFormat="1" applyFont="1" applyFill="1" applyBorder="1" applyAlignment="1">
      <alignment wrapText="1" shrinkToFit="1"/>
    </xf>
    <xf numFmtId="188" fontId="47" fillId="0" borderId="11" xfId="1" applyNumberFormat="1" applyFont="1" applyFill="1" applyBorder="1" applyAlignment="1">
      <alignment shrinkToFit="1"/>
    </xf>
    <xf numFmtId="43" fontId="46" fillId="0" borderId="0" xfId="0" applyNumberFormat="1" applyFont="1" applyAlignment="1"/>
    <xf numFmtId="0" fontId="47" fillId="19" borderId="3" xfId="0" applyFont="1" applyFill="1" applyBorder="1" applyAlignment="1">
      <alignment horizontal="center" vertical="top" wrapText="1"/>
    </xf>
    <xf numFmtId="0" fontId="47" fillId="2" borderId="3" xfId="0" applyFont="1" applyFill="1" applyBorder="1" applyAlignment="1">
      <alignment horizontal="center" vertical="top" wrapText="1"/>
    </xf>
    <xf numFmtId="0" fontId="62" fillId="0" borderId="0" xfId="0" applyFont="1" applyFill="1" applyAlignment="1"/>
    <xf numFmtId="0" fontId="24" fillId="0" borderId="0" xfId="0" applyFont="1" applyAlignment="1">
      <alignment horizontal="center"/>
    </xf>
    <xf numFmtId="49" fontId="4" fillId="22" borderId="2" xfId="0" applyNumberFormat="1" applyFont="1" applyFill="1" applyBorder="1" applyAlignment="1">
      <alignment horizontal="center" vertical="center"/>
    </xf>
    <xf numFmtId="43" fontId="4" fillId="0" borderId="2" xfId="1" applyNumberFormat="1" applyFont="1" applyFill="1" applyBorder="1" applyAlignment="1" applyProtection="1">
      <alignment horizontal="left"/>
    </xf>
    <xf numFmtId="0" fontId="24" fillId="0" borderId="0" xfId="0" applyFont="1" applyFill="1" applyAlignment="1"/>
    <xf numFmtId="0" fontId="3" fillId="0" borderId="12" xfId="0" applyFont="1" applyFill="1" applyBorder="1" applyAlignment="1">
      <alignment horizontal="left" vertical="center"/>
    </xf>
    <xf numFmtId="43" fontId="24" fillId="0" borderId="3" xfId="1" applyFont="1" applyFill="1" applyBorder="1" applyAlignment="1">
      <alignment vertical="top"/>
    </xf>
    <xf numFmtId="43" fontId="4" fillId="0" borderId="11" xfId="1" applyNumberFormat="1" applyFont="1" applyBorder="1" applyAlignment="1" applyProtection="1"/>
    <xf numFmtId="43" fontId="4" fillId="14" borderId="11" xfId="1" applyNumberFormat="1" applyFont="1" applyFill="1" applyBorder="1" applyAlignment="1" applyProtection="1"/>
    <xf numFmtId="0" fontId="4" fillId="0" borderId="0" xfId="0" applyFont="1" applyAlignment="1"/>
    <xf numFmtId="0" fontId="4" fillId="0" borderId="0" xfId="0" applyFont="1" applyBorder="1" applyAlignment="1" applyProtection="1">
      <alignment horizontal="center"/>
    </xf>
    <xf numFmtId="43" fontId="4" fillId="0" borderId="0" xfId="1" applyNumberFormat="1" applyFont="1" applyBorder="1" applyAlignment="1" applyProtection="1"/>
    <xf numFmtId="0" fontId="63" fillId="0" borderId="0" xfId="0" applyFont="1" applyFill="1" applyAlignment="1"/>
    <xf numFmtId="0" fontId="63" fillId="0" borderId="0" xfId="0" applyFont="1" applyFill="1" applyAlignment="1">
      <alignment horizontal="left"/>
    </xf>
    <xf numFmtId="0" fontId="63" fillId="0" borderId="0" xfId="0" applyFont="1" applyFill="1" applyAlignment="1">
      <alignment horizontal="center"/>
    </xf>
    <xf numFmtId="0" fontId="3" fillId="0" borderId="5" xfId="0" applyFont="1" applyBorder="1" applyAlignment="1">
      <alignment horizontal="left" vertical="center"/>
    </xf>
    <xf numFmtId="188" fontId="3" fillId="0" borderId="3" xfId="1" applyNumberFormat="1" applyFont="1" applyBorder="1" applyAlignment="1">
      <alignment horizontal="right" vertical="center"/>
    </xf>
    <xf numFmtId="188" fontId="3" fillId="0" borderId="3" xfId="1" applyNumberFormat="1" applyFont="1" applyFill="1" applyBorder="1" applyAlignment="1">
      <alignment horizontal="right" vertical="center" wrapText="1"/>
    </xf>
    <xf numFmtId="0" fontId="24" fillId="0" borderId="2" xfId="0" applyFont="1" applyBorder="1" applyAlignment="1">
      <alignment horizontal="left" vertical="center"/>
    </xf>
    <xf numFmtId="188" fontId="24" fillId="0" borderId="2" xfId="1" applyNumberFormat="1" applyFont="1" applyBorder="1" applyAlignment="1">
      <alignment horizontal="right" vertical="center"/>
    </xf>
    <xf numFmtId="188" fontId="24" fillId="0" borderId="2" xfId="1" applyNumberFormat="1" applyFont="1" applyFill="1" applyBorder="1" applyAlignment="1">
      <alignment horizontal="right" vertical="center" wrapText="1"/>
    </xf>
    <xf numFmtId="0" fontId="24" fillId="0" borderId="0" xfId="0" applyFont="1" applyAlignment="1">
      <alignment vertical="center"/>
    </xf>
    <xf numFmtId="0" fontId="24" fillId="0" borderId="2" xfId="0" applyFont="1" applyFill="1" applyBorder="1" applyAlignment="1">
      <alignment horizontal="left" vertical="center"/>
    </xf>
    <xf numFmtId="188" fontId="24" fillId="0" borderId="2" xfId="1" applyNumberFormat="1" applyFont="1" applyFill="1" applyBorder="1" applyAlignment="1">
      <alignment horizontal="right" vertical="center"/>
    </xf>
    <xf numFmtId="0" fontId="24" fillId="0" borderId="0" xfId="0" applyFont="1" applyFill="1" applyAlignment="1">
      <alignment vertical="center"/>
    </xf>
    <xf numFmtId="0" fontId="64" fillId="0" borderId="0" xfId="0" applyFont="1" applyAlignment="1">
      <alignment wrapText="1"/>
    </xf>
    <xf numFmtId="0" fontId="41" fillId="2" borderId="3" xfId="0" applyFont="1" applyFill="1" applyBorder="1" applyAlignment="1">
      <alignment horizontal="center" vertical="top" wrapText="1"/>
    </xf>
    <xf numFmtId="43" fontId="24" fillId="0" borderId="0" xfId="1" applyFont="1" applyFill="1" applyAlignment="1"/>
    <xf numFmtId="43" fontId="24" fillId="0" borderId="0" xfId="0" applyNumberFormat="1" applyFont="1" applyFill="1" applyAlignment="1"/>
    <xf numFmtId="43" fontId="4" fillId="0" borderId="0" xfId="1" applyFont="1" applyAlignment="1"/>
    <xf numFmtId="0" fontId="46" fillId="0" borderId="2" xfId="0" applyFont="1" applyBorder="1" applyAlignment="1">
      <alignment horizontal="left" vertical="top" wrapText="1"/>
    </xf>
    <xf numFmtId="0" fontId="46" fillId="0" borderId="2" xfId="0" applyFont="1" applyBorder="1" applyAlignment="1">
      <alignment vertical="top" wrapText="1"/>
    </xf>
    <xf numFmtId="187" fontId="46" fillId="0" borderId="2" xfId="0" applyNumberFormat="1" applyFont="1" applyBorder="1" applyAlignment="1">
      <alignment horizontal="center" vertical="top" shrinkToFit="1"/>
    </xf>
    <xf numFmtId="0" fontId="46" fillId="0" borderId="2" xfId="0" applyFont="1" applyBorder="1" applyAlignment="1">
      <alignment horizontal="center" vertical="top" wrapText="1"/>
    </xf>
    <xf numFmtId="0" fontId="46" fillId="0" borderId="2" xfId="0" applyFont="1" applyBorder="1" applyAlignment="1">
      <alignment horizontal="center" vertical="top" wrapText="1" shrinkToFit="1"/>
    </xf>
    <xf numFmtId="0" fontId="46" fillId="0" borderId="0" xfId="0" applyFont="1" applyAlignment="1">
      <alignment vertical="top" wrapText="1"/>
    </xf>
    <xf numFmtId="0" fontId="54" fillId="21" borderId="2" xfId="0" applyFont="1" applyFill="1" applyBorder="1" applyAlignment="1">
      <alignment horizontal="left" vertical="top"/>
    </xf>
    <xf numFmtId="0" fontId="58" fillId="0" borderId="2" xfId="0" applyFont="1" applyBorder="1" applyAlignment="1">
      <alignment horizontal="center" vertical="top" wrapText="1" shrinkToFit="1"/>
    </xf>
    <xf numFmtId="0" fontId="58" fillId="0" borderId="2" xfId="0" applyFont="1" applyBorder="1" applyAlignment="1">
      <alignment horizontal="left" vertical="top" wrapText="1"/>
    </xf>
    <xf numFmtId="0" fontId="58" fillId="0" borderId="2" xfId="0" applyFont="1" applyBorder="1" applyAlignment="1">
      <alignment vertical="top" wrapText="1"/>
    </xf>
    <xf numFmtId="0" fontId="54" fillId="21" borderId="2" xfId="0" applyFont="1" applyFill="1" applyBorder="1" applyAlignment="1">
      <alignment horizontal="center" vertical="top" wrapText="1" shrinkToFit="1"/>
    </xf>
    <xf numFmtId="0" fontId="54" fillId="21" borderId="2" xfId="0" applyFont="1" applyFill="1" applyBorder="1" applyAlignment="1">
      <alignment horizontal="left" vertical="top" wrapText="1"/>
    </xf>
    <xf numFmtId="0" fontId="54" fillId="21" borderId="2" xfId="0" applyFont="1" applyFill="1" applyBorder="1" applyAlignment="1">
      <alignment vertical="top" wrapText="1"/>
    </xf>
    <xf numFmtId="0" fontId="62" fillId="0" borderId="0" xfId="0" applyFont="1" applyFill="1" applyBorder="1" applyAlignment="1" applyProtection="1">
      <alignment horizontal="center"/>
      <protection locked="0"/>
    </xf>
    <xf numFmtId="0" fontId="26" fillId="0" borderId="0" xfId="0" applyFont="1" applyAlignment="1"/>
    <xf numFmtId="43" fontId="26" fillId="0" borderId="2" xfId="1" applyFont="1" applyBorder="1" applyAlignment="1">
      <alignment vertical="top" wrapText="1"/>
    </xf>
    <xf numFmtId="0" fontId="26" fillId="0" borderId="2" xfId="0" applyFont="1" applyBorder="1" applyAlignment="1">
      <alignment horizontal="center" vertical="top" wrapText="1"/>
    </xf>
    <xf numFmtId="187" fontId="26" fillId="0" borderId="2" xfId="0" applyNumberFormat="1" applyFont="1" applyBorder="1" applyAlignment="1">
      <alignment horizontal="center" vertical="top" shrinkToFit="1"/>
    </xf>
    <xf numFmtId="0" fontId="26" fillId="0" borderId="2" xfId="0" applyFont="1" applyBorder="1" applyAlignment="1">
      <alignment horizontal="center" vertical="top" shrinkToFit="1"/>
    </xf>
    <xf numFmtId="0" fontId="26" fillId="0" borderId="2" xfId="0" applyFont="1" applyBorder="1" applyAlignment="1">
      <alignment horizontal="left" vertical="top"/>
    </xf>
    <xf numFmtId="0" fontId="26" fillId="0" borderId="2" xfId="0" applyFont="1" applyBorder="1" applyAlignment="1">
      <alignment vertical="top"/>
    </xf>
    <xf numFmtId="43" fontId="31" fillId="0" borderId="2" xfId="1" applyFont="1" applyBorder="1" applyAlignment="1">
      <alignment horizontal="center" vertical="top" wrapText="1"/>
    </xf>
    <xf numFmtId="0" fontId="31" fillId="0" borderId="2" xfId="0" applyFont="1" applyBorder="1" applyAlignment="1">
      <alignment horizontal="center" vertical="top" shrinkToFit="1"/>
    </xf>
    <xf numFmtId="14" fontId="26" fillId="0" borderId="2" xfId="0" applyNumberFormat="1" applyFont="1" applyBorder="1" applyAlignment="1">
      <alignment vertical="top"/>
    </xf>
    <xf numFmtId="0" fontId="33" fillId="0" borderId="2" xfId="0" applyFont="1" applyBorder="1" applyAlignment="1">
      <alignment horizontal="center" vertical="top" shrinkToFit="1"/>
    </xf>
    <xf numFmtId="43" fontId="26" fillId="0" borderId="2" xfId="1" applyFont="1" applyBorder="1" applyAlignment="1">
      <alignment horizontal="center" vertical="top" wrapText="1"/>
    </xf>
    <xf numFmtId="0" fontId="27" fillId="0" borderId="0" xfId="0" applyFont="1" applyFill="1" applyAlignment="1">
      <alignment vertical="center" wrapText="1"/>
    </xf>
    <xf numFmtId="0" fontId="27" fillId="0" borderId="0" xfId="0" applyFont="1" applyFill="1" applyAlignment="1">
      <alignment wrapText="1"/>
    </xf>
    <xf numFmtId="0" fontId="27" fillId="11" borderId="3" xfId="0" applyFont="1" applyFill="1" applyBorder="1" applyAlignment="1">
      <alignment horizontal="center" vertical="top" wrapText="1"/>
    </xf>
    <xf numFmtId="0" fontId="27" fillId="23" borderId="2" xfId="0" applyFont="1" applyFill="1" applyBorder="1" applyAlignment="1">
      <alignment horizontal="left" vertical="top"/>
    </xf>
    <xf numFmtId="187" fontId="27" fillId="23" borderId="2" xfId="0" applyNumberFormat="1" applyFont="1" applyFill="1" applyBorder="1" applyAlignment="1">
      <alignment horizontal="center" vertical="top" shrinkToFit="1"/>
    </xf>
    <xf numFmtId="0" fontId="31" fillId="23" borderId="2" xfId="0" applyFont="1" applyFill="1" applyBorder="1" applyAlignment="1">
      <alignment horizontal="center" vertical="top" shrinkToFit="1"/>
    </xf>
    <xf numFmtId="0" fontId="27" fillId="23" borderId="2" xfId="0" applyFont="1" applyFill="1" applyBorder="1" applyAlignment="1">
      <alignment horizontal="center" vertical="top" shrinkToFit="1"/>
    </xf>
    <xf numFmtId="0" fontId="27" fillId="23" borderId="2" xfId="0" applyFont="1" applyFill="1" applyBorder="1" applyAlignment="1">
      <alignment vertical="top"/>
    </xf>
    <xf numFmtId="43" fontId="27" fillId="23" borderId="2" xfId="1" applyFont="1" applyFill="1" applyBorder="1" applyAlignment="1">
      <alignment vertical="top" wrapText="1"/>
    </xf>
    <xf numFmtId="14" fontId="27" fillId="23" borderId="2" xfId="0" applyNumberFormat="1" applyFont="1" applyFill="1" applyBorder="1" applyAlignment="1">
      <alignment vertical="top"/>
    </xf>
    <xf numFmtId="0" fontId="33" fillId="23" borderId="2" xfId="0" applyFont="1" applyFill="1" applyBorder="1" applyAlignment="1">
      <alignment horizontal="center" vertical="top" shrinkToFit="1"/>
    </xf>
    <xf numFmtId="187" fontId="27" fillId="23" borderId="2" xfId="0" applyNumberFormat="1" applyFont="1" applyFill="1" applyBorder="1" applyAlignment="1">
      <alignment horizontal="center" vertical="center" wrapText="1"/>
    </xf>
    <xf numFmtId="0" fontId="27" fillId="23" borderId="2" xfId="0" applyFont="1" applyFill="1" applyBorder="1" applyAlignment="1">
      <alignment horizontal="center" vertical="center"/>
    </xf>
    <xf numFmtId="43" fontId="27" fillId="23" borderId="2" xfId="1" applyFont="1" applyFill="1" applyBorder="1" applyAlignment="1">
      <alignment horizontal="center" vertical="center" wrapText="1"/>
    </xf>
    <xf numFmtId="43" fontId="67" fillId="0" borderId="2" xfId="1" applyFont="1" applyBorder="1" applyAlignment="1">
      <alignment horizontal="center" vertical="top" wrapText="1"/>
    </xf>
    <xf numFmtId="43" fontId="27" fillId="0" borderId="11" xfId="1" applyFont="1" applyBorder="1" applyAlignment="1">
      <alignment vertical="center" shrinkToFit="1"/>
    </xf>
    <xf numFmtId="0" fontId="46" fillId="0" borderId="0" xfId="0" applyFont="1" applyFill="1" applyAlignment="1">
      <alignment vertical="top" wrapText="1"/>
    </xf>
    <xf numFmtId="0" fontId="46" fillId="0" borderId="0" xfId="0" applyFont="1" applyFill="1"/>
    <xf numFmtId="43" fontId="47" fillId="0" borderId="11" xfId="1" applyFont="1" applyBorder="1" applyAlignment="1">
      <alignment vertical="center" shrinkToFit="1"/>
    </xf>
    <xf numFmtId="0" fontId="47" fillId="13" borderId="2" xfId="0" applyFont="1" applyFill="1" applyBorder="1" applyAlignment="1">
      <alignment horizontal="center" vertical="top" wrapText="1"/>
    </xf>
    <xf numFmtId="43" fontId="46" fillId="0" borderId="2" xfId="1" applyFont="1" applyFill="1" applyBorder="1" applyAlignment="1">
      <alignment horizontal="center" vertical="center" wrapText="1"/>
    </xf>
    <xf numFmtId="0" fontId="47" fillId="21" borderId="2" xfId="0" applyFont="1" applyFill="1" applyBorder="1" applyAlignment="1">
      <alignment horizontal="center" vertical="top" shrinkToFit="1"/>
    </xf>
    <xf numFmtId="0" fontId="47" fillId="21" borderId="2" xfId="0" applyFont="1" applyFill="1" applyBorder="1" applyAlignment="1">
      <alignment vertical="top"/>
    </xf>
    <xf numFmtId="0" fontId="46" fillId="0" borderId="2" xfId="0" applyFont="1" applyBorder="1" applyAlignment="1">
      <alignment horizontal="center" vertical="top" shrinkToFit="1"/>
    </xf>
    <xf numFmtId="0" fontId="46" fillId="0" borderId="2" xfId="0" applyFont="1" applyBorder="1" applyAlignment="1">
      <alignment horizontal="left" vertical="top"/>
    </xf>
    <xf numFmtId="43" fontId="46" fillId="0" borderId="2" xfId="1" applyFont="1" applyBorder="1" applyAlignment="1">
      <alignment vertical="top" wrapText="1"/>
    </xf>
    <xf numFmtId="43" fontId="68" fillId="0" borderId="2" xfId="1" applyFont="1" applyBorder="1" applyAlignment="1">
      <alignment horizontal="center" vertical="top" wrapText="1"/>
    </xf>
    <xf numFmtId="0" fontId="58" fillId="0" borderId="0" xfId="0" applyFont="1" applyAlignment="1">
      <alignment vertical="top" wrapText="1"/>
    </xf>
    <xf numFmtId="43" fontId="69" fillId="0" borderId="2" xfId="1" applyFont="1" applyBorder="1" applyAlignment="1">
      <alignment vertical="top" wrapText="1"/>
    </xf>
    <xf numFmtId="0" fontId="52" fillId="0" borderId="2" xfId="0" applyFont="1" applyBorder="1" applyAlignment="1">
      <alignment horizontal="center" vertical="top" wrapText="1" shrinkToFit="1"/>
    </xf>
    <xf numFmtId="0" fontId="52" fillId="21" borderId="2" xfId="0" applyFont="1" applyFill="1" applyBorder="1" applyAlignment="1">
      <alignment horizontal="center" vertical="top" wrapText="1" shrinkToFit="1"/>
    </xf>
    <xf numFmtId="0" fontId="58" fillId="0" borderId="2" xfId="0" applyFont="1" applyBorder="1" applyAlignment="1">
      <alignment horizontal="left" vertical="top"/>
    </xf>
    <xf numFmtId="43" fontId="58" fillId="0" borderId="2" xfId="1" applyFont="1" applyBorder="1" applyAlignment="1">
      <alignment vertical="top" wrapText="1"/>
    </xf>
    <xf numFmtId="43" fontId="64" fillId="0" borderId="0" xfId="1" applyFont="1" applyAlignment="1">
      <alignment wrapText="1"/>
    </xf>
    <xf numFmtId="43" fontId="2" fillId="14" borderId="34" xfId="1" applyFont="1" applyFill="1" applyBorder="1" applyAlignment="1">
      <alignment shrinkToFit="1"/>
    </xf>
    <xf numFmtId="43" fontId="2" fillId="19" borderId="34" xfId="1" applyFont="1" applyFill="1" applyBorder="1" applyAlignment="1">
      <alignment shrinkToFit="1"/>
    </xf>
    <xf numFmtId="43" fontId="2" fillId="11" borderId="34" xfId="1" applyFont="1" applyFill="1" applyBorder="1" applyAlignment="1">
      <alignment shrinkToFit="1"/>
    </xf>
    <xf numFmtId="43" fontId="2" fillId="16" borderId="34" xfId="1" applyFont="1" applyFill="1" applyBorder="1" applyAlignment="1">
      <alignment shrinkToFit="1"/>
    </xf>
    <xf numFmtId="0" fontId="39" fillId="0" borderId="0" xfId="0" applyFont="1" applyAlignment="1"/>
    <xf numFmtId="0" fontId="39" fillId="0" borderId="0" xfId="0" applyFont="1" applyAlignment="1">
      <alignment horizontal="left"/>
    </xf>
    <xf numFmtId="0" fontId="3" fillId="0" borderId="0" xfId="0" applyFont="1" applyFill="1" applyAlignment="1">
      <alignment wrapText="1"/>
    </xf>
    <xf numFmtId="0" fontId="41" fillId="0" borderId="2" xfId="0" applyFont="1" applyFill="1" applyBorder="1" applyAlignment="1">
      <alignment horizontal="center" vertical="top" wrapText="1"/>
    </xf>
    <xf numFmtId="188" fontId="2" fillId="13" borderId="11" xfId="1" applyNumberFormat="1" applyFont="1" applyFill="1" applyBorder="1" applyAlignment="1">
      <alignment horizontal="right" shrinkToFit="1"/>
    </xf>
    <xf numFmtId="188" fontId="2" fillId="0" borderId="11" xfId="1" applyNumberFormat="1" applyFont="1" applyFill="1" applyBorder="1" applyAlignment="1">
      <alignment horizontal="right" shrinkToFit="1"/>
    </xf>
    <xf numFmtId="0" fontId="44" fillId="0" borderId="0" xfId="0" applyFont="1" applyFill="1"/>
    <xf numFmtId="43" fontId="46" fillId="0" borderId="0" xfId="1" applyFont="1" applyFill="1" applyAlignment="1">
      <alignment wrapText="1"/>
    </xf>
    <xf numFmtId="43" fontId="46" fillId="0" borderId="0" xfId="0" applyNumberFormat="1" applyFont="1" applyFill="1" applyAlignment="1">
      <alignment wrapText="1"/>
    </xf>
    <xf numFmtId="43" fontId="44" fillId="0" borderId="0" xfId="1" applyFont="1" applyFill="1"/>
    <xf numFmtId="188" fontId="3" fillId="0" borderId="49" xfId="1" applyNumberFormat="1" applyFont="1" applyFill="1" applyBorder="1" applyAlignment="1">
      <alignment horizontal="right" vertical="center" wrapText="1"/>
    </xf>
    <xf numFmtId="43" fontId="58" fillId="0" borderId="0" xfId="1" applyFont="1"/>
    <xf numFmtId="0" fontId="4" fillId="0" borderId="2" xfId="0" applyFont="1" applyBorder="1" applyAlignment="1" applyProtection="1"/>
    <xf numFmtId="0" fontId="4" fillId="0" borderId="2" xfId="0" applyFont="1" applyBorder="1" applyAlignment="1" applyProtection="1">
      <alignment horizontal="center"/>
    </xf>
    <xf numFmtId="43" fontId="2" fillId="0" borderId="2" xfId="1" applyFont="1" applyFill="1" applyBorder="1" applyAlignment="1">
      <alignment horizontal="center" vertical="center" wrapText="1"/>
    </xf>
    <xf numFmtId="0" fontId="2" fillId="0" borderId="2" xfId="0" applyFont="1" applyFill="1" applyBorder="1" applyAlignment="1"/>
    <xf numFmtId="0" fontId="2" fillId="0" borderId="2" xfId="0" applyFont="1" applyFill="1" applyBorder="1" applyAlignment="1">
      <alignment horizontal="center"/>
    </xf>
    <xf numFmtId="0" fontId="74" fillId="0" borderId="0" xfId="0" applyFont="1" applyAlignment="1">
      <alignment horizontal="left"/>
    </xf>
    <xf numFmtId="0" fontId="58" fillId="0" borderId="0" xfId="0" applyFont="1"/>
    <xf numFmtId="0" fontId="58" fillId="0" borderId="0" xfId="0" applyFont="1" applyAlignment="1">
      <alignment horizontal="center" wrapText="1"/>
    </xf>
    <xf numFmtId="187" fontId="58" fillId="0" borderId="0" xfId="0" applyNumberFormat="1" applyFont="1" applyAlignment="1">
      <alignment horizontal="center" wrapText="1"/>
    </xf>
    <xf numFmtId="0" fontId="58" fillId="0" borderId="0" xfId="0" applyFont="1" applyAlignment="1">
      <alignment horizontal="left" wrapText="1"/>
    </xf>
    <xf numFmtId="0" fontId="58" fillId="0" borderId="0" xfId="0" applyFont="1" applyAlignment="1">
      <alignment wrapText="1"/>
    </xf>
    <xf numFmtId="43" fontId="58" fillId="0" borderId="0" xfId="1" applyFont="1" applyAlignment="1">
      <alignment wrapText="1"/>
    </xf>
    <xf numFmtId="0" fontId="72" fillId="0" borderId="0" xfId="0" applyFont="1" applyAlignment="1">
      <alignment wrapText="1"/>
    </xf>
    <xf numFmtId="0" fontId="54" fillId="0" borderId="0" xfId="0" applyFont="1" applyAlignment="1">
      <alignment wrapText="1"/>
    </xf>
    <xf numFmtId="0" fontId="54" fillId="0" borderId="0" xfId="0" applyFont="1" applyAlignment="1">
      <alignment vertical="top" wrapText="1"/>
    </xf>
    <xf numFmtId="187" fontId="54" fillId="21" borderId="2" xfId="0" applyNumberFormat="1" applyFont="1" applyFill="1" applyBorder="1" applyAlignment="1">
      <alignment horizontal="center" vertical="top" shrinkToFit="1"/>
    </xf>
    <xf numFmtId="43" fontId="54" fillId="21" borderId="2" xfId="1" applyFont="1" applyFill="1" applyBorder="1" applyAlignment="1">
      <alignment vertical="top" wrapText="1"/>
    </xf>
    <xf numFmtId="0" fontId="58" fillId="0" borderId="2" xfId="0" applyFont="1" applyBorder="1" applyAlignment="1">
      <alignment horizontal="center" vertical="top" wrapText="1"/>
    </xf>
    <xf numFmtId="187" fontId="58" fillId="0" borderId="2" xfId="0" applyNumberFormat="1" applyFont="1" applyBorder="1" applyAlignment="1">
      <alignment horizontal="center" vertical="top" shrinkToFit="1"/>
    </xf>
    <xf numFmtId="43" fontId="73" fillId="0" borderId="2" xfId="1" applyFont="1" applyBorder="1" applyAlignment="1">
      <alignment vertical="top" wrapText="1"/>
    </xf>
    <xf numFmtId="0" fontId="58" fillId="0" borderId="0" xfId="0" applyFont="1" applyAlignment="1">
      <alignment horizontal="center"/>
    </xf>
    <xf numFmtId="187" fontId="58" fillId="0" borderId="0" xfId="0" applyNumberFormat="1" applyFont="1" applyAlignment="1">
      <alignment horizontal="center"/>
    </xf>
    <xf numFmtId="43" fontId="63" fillId="0" borderId="0" xfId="1" applyFont="1" applyFill="1" applyAlignment="1"/>
    <xf numFmtId="43" fontId="63" fillId="0" borderId="0" xfId="0" applyNumberFormat="1" applyFont="1" applyFill="1" applyAlignment="1"/>
    <xf numFmtId="0" fontId="54" fillId="19" borderId="2" xfId="0" applyFont="1" applyFill="1" applyBorder="1" applyAlignment="1">
      <alignment horizontal="center" vertical="top" wrapText="1"/>
    </xf>
    <xf numFmtId="0" fontId="54" fillId="2" borderId="2" xfId="0" applyFont="1" applyFill="1" applyBorder="1" applyAlignment="1">
      <alignment horizontal="center" vertical="top" wrapText="1"/>
    </xf>
    <xf numFmtId="43" fontId="73" fillId="21" borderId="2" xfId="1" applyFont="1" applyFill="1" applyBorder="1" applyAlignment="1">
      <alignment vertical="top" wrapText="1"/>
    </xf>
    <xf numFmtId="43" fontId="73" fillId="0" borderId="2" xfId="1" applyFont="1" applyBorder="1" applyAlignment="1">
      <alignment horizontal="center" vertical="top" wrapText="1"/>
    </xf>
    <xf numFmtId="0" fontId="54" fillId="0" borderId="2" xfId="0" applyFont="1" applyBorder="1" applyAlignment="1">
      <alignment horizontal="center" vertical="top" wrapText="1" shrinkToFit="1"/>
    </xf>
    <xf numFmtId="0" fontId="46" fillId="0" borderId="2" xfId="0" applyFont="1" applyBorder="1" applyAlignment="1">
      <alignment horizontal="center" vertical="top"/>
    </xf>
    <xf numFmtId="187" fontId="46" fillId="0" borderId="2" xfId="0" applyNumberFormat="1" applyFont="1" applyBorder="1" applyAlignment="1">
      <alignment horizontal="center" vertical="top"/>
    </xf>
    <xf numFmtId="43" fontId="46" fillId="0" borderId="2" xfId="1" applyFont="1" applyBorder="1" applyAlignment="1">
      <alignment vertical="top"/>
    </xf>
    <xf numFmtId="0" fontId="46" fillId="0" borderId="0" xfId="0" applyFont="1" applyAlignment="1">
      <alignment vertical="top"/>
    </xf>
    <xf numFmtId="43" fontId="73" fillId="0" borderId="11" xfId="1" applyFont="1" applyBorder="1" applyAlignment="1">
      <alignment vertical="center" wrapText="1" shrinkToFit="1"/>
    </xf>
    <xf numFmtId="0" fontId="73" fillId="0" borderId="0" xfId="0" applyFont="1" applyAlignment="1">
      <alignment wrapText="1"/>
    </xf>
    <xf numFmtId="43" fontId="66" fillId="0" borderId="0" xfId="1" applyFont="1" applyBorder="1" applyAlignment="1">
      <alignment vertical="center" shrinkToFit="1"/>
    </xf>
    <xf numFmtId="43" fontId="73" fillId="0" borderId="0" xfId="1" applyFont="1" applyBorder="1" applyAlignment="1">
      <alignment vertical="center" wrapText="1" shrinkToFit="1"/>
    </xf>
    <xf numFmtId="0" fontId="66" fillId="0" borderId="0" xfId="0" applyFont="1" applyBorder="1" applyAlignment="1">
      <alignment vertical="center"/>
    </xf>
    <xf numFmtId="0" fontId="46" fillId="0" borderId="0" xfId="0" applyFont="1" applyBorder="1" applyAlignment="1">
      <alignment horizontal="center"/>
    </xf>
    <xf numFmtId="187" fontId="46" fillId="0" borderId="0" xfId="0" applyNumberFormat="1" applyFont="1" applyBorder="1" applyAlignment="1">
      <alignment horizontal="center"/>
    </xf>
    <xf numFmtId="0" fontId="46" fillId="0" borderId="0" xfId="0" applyFont="1" applyBorder="1" applyAlignment="1">
      <alignment horizontal="center" wrapText="1"/>
    </xf>
    <xf numFmtId="0" fontId="46" fillId="0" borderId="0" xfId="0" applyFont="1" applyBorder="1" applyAlignment="1">
      <alignment horizontal="left" wrapText="1"/>
    </xf>
    <xf numFmtId="0" fontId="46" fillId="0" borderId="0" xfId="0" applyFont="1" applyBorder="1" applyAlignment="1">
      <alignment wrapText="1"/>
    </xf>
    <xf numFmtId="43" fontId="46" fillId="0" borderId="0" xfId="1" applyFont="1" applyBorder="1"/>
    <xf numFmtId="0" fontId="46" fillId="0" borderId="0" xfId="0" applyFont="1" applyBorder="1"/>
    <xf numFmtId="0" fontId="73" fillId="0" borderId="0" xfId="0" applyFont="1" applyBorder="1" applyAlignment="1">
      <alignment wrapText="1"/>
    </xf>
    <xf numFmtId="43" fontId="73" fillId="0" borderId="0" xfId="1" applyFont="1" applyBorder="1" applyAlignment="1">
      <alignment wrapText="1"/>
    </xf>
    <xf numFmtId="0" fontId="62" fillId="0" borderId="0" xfId="0" applyFont="1" applyFill="1" applyBorder="1" applyAlignment="1" applyProtection="1">
      <alignment horizontal="center"/>
      <protection locked="0"/>
    </xf>
    <xf numFmtId="43" fontId="2" fillId="0" borderId="13"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4" fillId="0" borderId="11" xfId="1" applyNumberFormat="1" applyFont="1" applyFill="1" applyBorder="1" applyAlignment="1" applyProtection="1"/>
    <xf numFmtId="188" fontId="4" fillId="0" borderId="11" xfId="1" applyNumberFormat="1" applyFont="1" applyFill="1" applyBorder="1" applyAlignment="1">
      <alignment horizontal="right" shrinkToFit="1"/>
    </xf>
    <xf numFmtId="188" fontId="4" fillId="13" borderId="11" xfId="1" applyNumberFormat="1" applyFont="1" applyFill="1" applyBorder="1" applyAlignment="1">
      <alignment horizontal="right" shrinkToFit="1"/>
    </xf>
    <xf numFmtId="0" fontId="58" fillId="0" borderId="2" xfId="0" applyFont="1" applyFill="1" applyBorder="1" applyAlignment="1">
      <alignment horizontal="center" vertical="top" wrapText="1"/>
    </xf>
    <xf numFmtId="187" fontId="58" fillId="0" borderId="2" xfId="0" applyNumberFormat="1" applyFont="1" applyFill="1" applyBorder="1" applyAlignment="1">
      <alignment horizontal="center" vertical="top" wrapText="1" shrinkToFit="1"/>
    </xf>
    <xf numFmtId="0" fontId="58" fillId="0" borderId="0" xfId="0" applyFont="1" applyFill="1" applyAlignment="1">
      <alignment vertical="top" wrapText="1"/>
    </xf>
    <xf numFmtId="0" fontId="64" fillId="0" borderId="0" xfId="0" applyFont="1" applyAlignment="1">
      <alignment vertical="top" wrapText="1"/>
    </xf>
    <xf numFmtId="0" fontId="58" fillId="0" borderId="2" xfId="0" applyFont="1" applyBorder="1" applyAlignment="1">
      <alignment horizontal="center" vertical="top" shrinkToFit="1"/>
    </xf>
    <xf numFmtId="0" fontId="73" fillId="0" borderId="0" xfId="0" applyFont="1" applyAlignment="1">
      <alignment vertical="top" wrapText="1"/>
    </xf>
    <xf numFmtId="43" fontId="47" fillId="0" borderId="11" xfId="1" applyFont="1" applyBorder="1" applyAlignment="1">
      <alignment shrinkToFit="1"/>
    </xf>
    <xf numFmtId="43" fontId="63" fillId="0" borderId="0" xfId="1" applyFont="1" applyFill="1" applyAlignment="1">
      <alignment horizontal="center"/>
    </xf>
    <xf numFmtId="188" fontId="2" fillId="15" borderId="11" xfId="1" applyNumberFormat="1" applyFont="1" applyFill="1" applyBorder="1" applyAlignment="1">
      <alignment horizontal="right" shrinkToFit="1"/>
    </xf>
    <xf numFmtId="43" fontId="58" fillId="0" borderId="2" xfId="1" applyFont="1" applyBorder="1" applyAlignment="1">
      <alignment horizontal="center" vertical="top"/>
    </xf>
    <xf numFmtId="0" fontId="58" fillId="0" borderId="0" xfId="0" applyFont="1" applyBorder="1" applyAlignment="1">
      <alignment wrapText="1"/>
    </xf>
    <xf numFmtId="0" fontId="62" fillId="0" borderId="0" xfId="0" applyFont="1" applyFill="1" applyBorder="1" applyAlignment="1" applyProtection="1">
      <alignment horizontal="center"/>
      <protection locked="0"/>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13" xfId="1" applyFont="1" applyFill="1" applyBorder="1" applyAlignment="1">
      <alignment horizontal="center" vertical="center" wrapText="1"/>
    </xf>
    <xf numFmtId="43" fontId="58" fillId="0" borderId="0" xfId="1" applyFont="1" applyBorder="1" applyAlignment="1">
      <alignment horizontal="right" vertical="center" wrapText="1" shrinkToFit="1"/>
    </xf>
    <xf numFmtId="0" fontId="79" fillId="2" borderId="2" xfId="0" applyFont="1" applyFill="1" applyBorder="1" applyAlignment="1">
      <alignment horizontal="center" vertical="top" wrapText="1"/>
    </xf>
    <xf numFmtId="43" fontId="79" fillId="21" borderId="2" xfId="1" applyFont="1" applyFill="1" applyBorder="1" applyAlignment="1">
      <alignment vertical="top" wrapText="1"/>
    </xf>
    <xf numFmtId="43" fontId="79" fillId="0" borderId="2" xfId="1" applyFont="1" applyBorder="1" applyAlignment="1">
      <alignment horizontal="center" vertical="top" wrapText="1"/>
    </xf>
    <xf numFmtId="43" fontId="79" fillId="0" borderId="11" xfId="1" applyFont="1" applyBorder="1" applyAlignment="1">
      <alignment wrapText="1" shrinkToFit="1"/>
    </xf>
    <xf numFmtId="0" fontId="62" fillId="0" borderId="0" xfId="0" applyFont="1" applyFill="1" applyAlignment="1" applyProtection="1">
      <alignment horizontal="center"/>
      <protection locked="0"/>
    </xf>
    <xf numFmtId="0" fontId="62" fillId="0" borderId="0" xfId="0" applyFont="1" applyFill="1" applyBorder="1" applyAlignment="1" applyProtection="1">
      <alignment horizontal="center"/>
      <protection locked="0"/>
    </xf>
    <xf numFmtId="0" fontId="4" fillId="13" borderId="3" xfId="0" applyFont="1" applyFill="1" applyBorder="1" applyAlignment="1" applyProtection="1">
      <alignment horizontal="center" vertical="center"/>
    </xf>
    <xf numFmtId="0" fontId="4" fillId="13" borderId="6" xfId="0" applyFont="1" applyFill="1" applyBorder="1" applyAlignment="1" applyProtection="1">
      <alignment horizontal="center" vertical="center"/>
    </xf>
    <xf numFmtId="0" fontId="4" fillId="13" borderId="2" xfId="0" applyFont="1" applyFill="1" applyBorder="1" applyAlignment="1" applyProtection="1">
      <alignment horizontal="center" vertical="center"/>
    </xf>
    <xf numFmtId="49" fontId="4" fillId="14" borderId="4" xfId="0" applyNumberFormat="1" applyFont="1" applyFill="1" applyBorder="1" applyAlignment="1">
      <alignment horizontal="center" vertical="center" wrapText="1"/>
    </xf>
    <xf numFmtId="49" fontId="4" fillId="14" borderId="13" xfId="0" applyNumberFormat="1" applyFont="1" applyFill="1" applyBorder="1" applyAlignment="1">
      <alignment horizontal="center" vertical="center" wrapText="1"/>
    </xf>
    <xf numFmtId="49" fontId="4" fillId="14" borderId="5" xfId="0" applyNumberFormat="1" applyFont="1" applyFill="1" applyBorder="1" applyAlignment="1">
      <alignment horizontal="center" vertical="center" wrapText="1"/>
    </xf>
    <xf numFmtId="49" fontId="4" fillId="14" borderId="3" xfId="0" applyNumberFormat="1" applyFont="1" applyFill="1" applyBorder="1" applyAlignment="1" applyProtection="1">
      <alignment horizontal="center" vertical="center"/>
    </xf>
    <xf numFmtId="49" fontId="4" fillId="14" borderId="6" xfId="0" applyNumberFormat="1" applyFont="1" applyFill="1" applyBorder="1" applyAlignment="1" applyProtection="1">
      <alignment horizontal="center" vertical="center"/>
    </xf>
    <xf numFmtId="4" fontId="40" fillId="0" borderId="4" xfId="2" applyNumberFormat="1" applyFont="1" applyFill="1" applyBorder="1" applyAlignment="1">
      <alignment horizontal="center" vertical="center" wrapText="1"/>
    </xf>
    <xf numFmtId="4" fontId="40" fillId="0" borderId="13" xfId="2" applyNumberFormat="1" applyFont="1" applyFill="1" applyBorder="1" applyAlignment="1">
      <alignment horizontal="center" vertical="center" wrapText="1"/>
    </xf>
    <xf numFmtId="4" fontId="40" fillId="0" borderId="5" xfId="2"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3" xfId="1" applyFont="1" applyFill="1" applyBorder="1" applyAlignment="1">
      <alignment horizontal="center" vertical="center" wrapText="1"/>
    </xf>
    <xf numFmtId="43" fontId="2" fillId="0" borderId="10" xfId="1" applyFont="1" applyFill="1" applyBorder="1" applyAlignment="1">
      <alignment horizontal="center" vertical="center" wrapText="1"/>
    </xf>
    <xf numFmtId="43" fontId="2" fillId="0" borderId="6" xfId="1" applyFont="1" applyFill="1" applyBorder="1" applyAlignment="1">
      <alignment horizontal="center" vertical="center" wrapText="1"/>
    </xf>
    <xf numFmtId="4" fontId="40" fillId="0" borderId="50" xfId="2" applyNumberFormat="1" applyFont="1" applyFill="1" applyBorder="1" applyAlignment="1">
      <alignment horizontal="center" vertical="center" wrapText="1"/>
    </xf>
    <xf numFmtId="4" fontId="40" fillId="0" borderId="46" xfId="2" applyNumberFormat="1" applyFont="1" applyFill="1" applyBorder="1" applyAlignment="1">
      <alignment horizontal="center" vertical="center" wrapText="1"/>
    </xf>
    <xf numFmtId="4" fontId="40" fillId="0" borderId="50" xfId="2" applyNumberFormat="1" applyFont="1" applyFill="1" applyBorder="1" applyAlignment="1">
      <alignment horizontal="center" vertical="top" wrapText="1"/>
    </xf>
    <xf numFmtId="4" fontId="40" fillId="0" borderId="1" xfId="2" applyNumberFormat="1" applyFont="1" applyFill="1" applyBorder="1" applyAlignment="1">
      <alignment horizontal="center" vertical="top" wrapText="1"/>
    </xf>
    <xf numFmtId="4" fontId="40" fillId="0" borderId="46" xfId="2" applyNumberFormat="1" applyFont="1" applyFill="1" applyBorder="1" applyAlignment="1">
      <alignment horizontal="center" vertical="top" wrapText="1"/>
    </xf>
    <xf numFmtId="4" fontId="40" fillId="0" borderId="10" xfId="2" applyNumberFormat="1" applyFont="1" applyFill="1" applyBorder="1" applyAlignment="1">
      <alignment horizontal="center" vertical="center" wrapText="1"/>
    </xf>
    <xf numFmtId="4" fontId="40" fillId="0" borderId="6" xfId="2" applyNumberFormat="1" applyFont="1" applyFill="1" applyBorder="1" applyAlignment="1">
      <alignment horizontal="center" vertical="center" wrapText="1"/>
    </xf>
    <xf numFmtId="43" fontId="2" fillId="13" borderId="4" xfId="1" applyFont="1" applyFill="1" applyBorder="1" applyAlignment="1">
      <alignment horizontal="center" vertical="center" wrapText="1"/>
    </xf>
    <xf numFmtId="43" fontId="2" fillId="13" borderId="13" xfId="1" applyFont="1" applyFill="1" applyBorder="1" applyAlignment="1">
      <alignment horizontal="center" vertical="center" wrapText="1"/>
    </xf>
    <xf numFmtId="43" fontId="2" fillId="13" borderId="5" xfId="1" applyFont="1" applyFill="1" applyBorder="1" applyAlignment="1">
      <alignment horizontal="center" vertical="center" wrapText="1"/>
    </xf>
    <xf numFmtId="43" fontId="2" fillId="0" borderId="4" xfId="1" applyFont="1" applyFill="1" applyBorder="1" applyAlignment="1">
      <alignment horizontal="center" vertical="center" wrapText="1"/>
    </xf>
    <xf numFmtId="43" fontId="2" fillId="0" borderId="13" xfId="1" applyFont="1" applyFill="1" applyBorder="1" applyAlignment="1">
      <alignment horizontal="center" vertical="center" wrapText="1"/>
    </xf>
    <xf numFmtId="43" fontId="2" fillId="0" borderId="5" xfId="1" applyFont="1" applyFill="1" applyBorder="1" applyAlignment="1">
      <alignment horizontal="center" vertical="center" wrapText="1"/>
    </xf>
    <xf numFmtId="0" fontId="2" fillId="13" borderId="2" xfId="0" applyFont="1" applyFill="1" applyBorder="1" applyAlignment="1">
      <alignment horizontal="center" vertical="center" wrapText="1"/>
    </xf>
    <xf numFmtId="43" fontId="4" fillId="14" borderId="4" xfId="1" applyFont="1" applyFill="1" applyBorder="1" applyAlignment="1">
      <alignment horizontal="center" vertical="center" wrapText="1"/>
    </xf>
    <xf numFmtId="43" fontId="4" fillId="14" borderId="13" xfId="1" applyFont="1" applyFill="1" applyBorder="1" applyAlignment="1">
      <alignment horizontal="center" vertical="center" wrapText="1"/>
    </xf>
    <xf numFmtId="43" fontId="4" fillId="14" borderId="5" xfId="1" applyFont="1" applyFill="1" applyBorder="1" applyAlignment="1">
      <alignment horizontal="center" vertical="center" wrapText="1"/>
    </xf>
    <xf numFmtId="0" fontId="2" fillId="16" borderId="2" xfId="0" applyFont="1" applyFill="1" applyBorder="1" applyAlignment="1">
      <alignment horizontal="center" vertical="center" wrapText="1"/>
    </xf>
    <xf numFmtId="4" fontId="40" fillId="18" borderId="4" xfId="2" applyNumberFormat="1" applyFont="1" applyFill="1" applyBorder="1" applyAlignment="1">
      <alignment horizontal="center" vertical="top" wrapText="1"/>
    </xf>
    <xf numFmtId="4" fontId="40" fillId="18" borderId="13" xfId="2" applyNumberFormat="1" applyFont="1" applyFill="1" applyBorder="1" applyAlignment="1">
      <alignment horizontal="center" vertical="top" wrapText="1"/>
    </xf>
    <xf numFmtId="4" fontId="40" fillId="18" borderId="5" xfId="2" applyNumberFormat="1" applyFont="1" applyFill="1" applyBorder="1" applyAlignment="1">
      <alignment horizontal="center" vertical="top" wrapText="1"/>
    </xf>
    <xf numFmtId="4" fontId="54" fillId="15" borderId="3" xfId="2" applyNumberFormat="1" applyFont="1" applyFill="1" applyBorder="1" applyAlignment="1">
      <alignment horizontal="center" vertical="center" wrapText="1"/>
    </xf>
    <xf numFmtId="4" fontId="54" fillId="15" borderId="6" xfId="2" applyNumberFormat="1" applyFont="1" applyFill="1" applyBorder="1" applyAlignment="1">
      <alignment horizontal="center" vertical="center" wrapText="1"/>
    </xf>
    <xf numFmtId="4" fontId="40" fillId="17" borderId="4" xfId="2" applyNumberFormat="1" applyFont="1" applyFill="1" applyBorder="1" applyAlignment="1">
      <alignment horizontal="center" vertical="center" wrapText="1"/>
    </xf>
    <xf numFmtId="4" fontId="40" fillId="17" borderId="5" xfId="2" applyNumberFormat="1" applyFont="1" applyFill="1" applyBorder="1" applyAlignment="1">
      <alignment horizontal="center" vertical="center" wrapText="1"/>
    </xf>
    <xf numFmtId="43" fontId="2" fillId="14" borderId="3" xfId="1" applyFont="1" applyFill="1" applyBorder="1" applyAlignment="1">
      <alignment horizontal="center" vertical="center" wrapText="1"/>
    </xf>
    <xf numFmtId="43" fontId="2" fillId="14" borderId="10" xfId="1" applyFont="1" applyFill="1" applyBorder="1" applyAlignment="1">
      <alignment horizontal="center" vertical="center" wrapText="1"/>
    </xf>
    <xf numFmtId="43" fontId="2" fillId="14" borderId="6" xfId="1" applyFont="1" applyFill="1" applyBorder="1" applyAlignment="1">
      <alignment horizontal="center" vertical="center" wrapText="1"/>
    </xf>
    <xf numFmtId="4" fontId="40" fillId="15" borderId="4" xfId="2" applyNumberFormat="1" applyFont="1" applyFill="1" applyBorder="1" applyAlignment="1">
      <alignment horizontal="center" vertical="center" wrapText="1"/>
    </xf>
    <xf numFmtId="4" fontId="40" fillId="15" borderId="13" xfId="2" applyNumberFormat="1" applyFont="1" applyFill="1" applyBorder="1" applyAlignment="1">
      <alignment horizontal="center" vertical="center" wrapText="1"/>
    </xf>
    <xf numFmtId="4" fontId="40" fillId="15" borderId="5" xfId="2" applyNumberFormat="1" applyFont="1" applyFill="1" applyBorder="1" applyAlignment="1">
      <alignment horizontal="center" vertical="center" wrapText="1"/>
    </xf>
    <xf numFmtId="0" fontId="66" fillId="0" borderId="0" xfId="0" applyFont="1" applyBorder="1" applyAlignment="1">
      <alignment horizontal="center" vertical="center"/>
    </xf>
    <xf numFmtId="0" fontId="54" fillId="11" borderId="2" xfId="0" applyFont="1" applyFill="1" applyBorder="1" applyAlignment="1">
      <alignment horizontal="center" vertical="center" wrapText="1"/>
    </xf>
    <xf numFmtId="0" fontId="47" fillId="0" borderId="2" xfId="0" applyFont="1" applyBorder="1" applyAlignment="1">
      <alignment horizontal="center"/>
    </xf>
    <xf numFmtId="0" fontId="75" fillId="0" borderId="0" xfId="0" applyFont="1" applyAlignment="1">
      <alignment horizontal="center"/>
    </xf>
    <xf numFmtId="4" fontId="54" fillId="15" borderId="4" xfId="2" applyNumberFormat="1" applyFont="1" applyFill="1" applyBorder="1" applyAlignment="1">
      <alignment horizontal="center" vertical="center" wrapText="1"/>
    </xf>
    <xf numFmtId="4" fontId="54" fillId="15" borderId="13" xfId="2" applyNumberFormat="1" applyFont="1" applyFill="1" applyBorder="1" applyAlignment="1">
      <alignment horizontal="center" vertical="center" wrapText="1"/>
    </xf>
    <xf numFmtId="4" fontId="54" fillId="15" borderId="5" xfId="2" applyNumberFormat="1" applyFont="1" applyFill="1" applyBorder="1" applyAlignment="1">
      <alignment horizontal="center" vertical="center" wrapText="1"/>
    </xf>
    <xf numFmtId="0" fontId="54" fillId="16" borderId="2" xfId="0" applyFont="1" applyFill="1" applyBorder="1" applyAlignment="1">
      <alignment horizontal="center" vertical="center" wrapText="1"/>
    </xf>
    <xf numFmtId="187" fontId="54" fillId="11" borderId="2" xfId="0" applyNumberFormat="1" applyFont="1" applyFill="1" applyBorder="1" applyAlignment="1">
      <alignment horizontal="center" vertical="center" wrapText="1"/>
    </xf>
    <xf numFmtId="4" fontId="54" fillId="18" borderId="2" xfId="2" applyNumberFormat="1" applyFont="1" applyFill="1" applyBorder="1" applyAlignment="1">
      <alignment horizontal="center" vertical="top" wrapText="1"/>
    </xf>
    <xf numFmtId="43" fontId="54" fillId="14" borderId="2" xfId="1" applyFont="1" applyFill="1" applyBorder="1" applyAlignment="1">
      <alignment horizontal="center" vertical="center" wrapText="1"/>
    </xf>
    <xf numFmtId="4" fontId="76" fillId="17" borderId="2" xfId="2" applyNumberFormat="1" applyFont="1" applyFill="1" applyBorder="1" applyAlignment="1">
      <alignment horizontal="center" vertical="center" wrapText="1"/>
    </xf>
    <xf numFmtId="4" fontId="40" fillId="0" borderId="2" xfId="2" applyNumberFormat="1" applyFont="1" applyFill="1" applyBorder="1" applyAlignment="1">
      <alignment horizontal="center" vertical="center" wrapText="1"/>
    </xf>
    <xf numFmtId="4" fontId="40" fillId="0" borderId="4" xfId="2" applyNumberFormat="1" applyFont="1" applyFill="1" applyBorder="1" applyAlignment="1">
      <alignment horizontal="center" vertical="top" wrapText="1"/>
    </xf>
    <xf numFmtId="4" fontId="40" fillId="0" borderId="13" xfId="2" applyNumberFormat="1" applyFont="1" applyFill="1" applyBorder="1" applyAlignment="1">
      <alignment horizontal="center" vertical="top" wrapText="1"/>
    </xf>
    <xf numFmtId="4" fontId="40" fillId="0" borderId="5" xfId="2" applyNumberFormat="1" applyFont="1" applyFill="1" applyBorder="1" applyAlignment="1">
      <alignment horizontal="center" vertical="top" wrapText="1"/>
    </xf>
    <xf numFmtId="4" fontId="40" fillId="15" borderId="2" xfId="2" applyNumberFormat="1" applyFont="1" applyFill="1" applyBorder="1" applyAlignment="1">
      <alignment horizontal="center" vertical="center" wrapText="1"/>
    </xf>
    <xf numFmtId="0" fontId="47" fillId="0" borderId="2" xfId="0" applyFont="1" applyBorder="1" applyAlignment="1">
      <alignment horizontal="center" vertical="center"/>
    </xf>
    <xf numFmtId="4" fontId="54" fillId="15" borderId="2" xfId="2" applyNumberFormat="1" applyFont="1" applyFill="1" applyBorder="1" applyAlignment="1">
      <alignment horizontal="center" vertical="center" wrapText="1"/>
    </xf>
    <xf numFmtId="0" fontId="4" fillId="0" borderId="47" xfId="0" applyFont="1" applyBorder="1" applyAlignment="1" applyProtection="1">
      <alignment horizontal="center"/>
    </xf>
    <xf numFmtId="0" fontId="4" fillId="0" borderId="48" xfId="0" applyFont="1" applyBorder="1" applyAlignment="1" applyProtection="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9" fillId="0" borderId="0" xfId="0" applyFont="1" applyAlignment="1">
      <alignment horizontal="center"/>
    </xf>
    <xf numFmtId="43" fontId="2" fillId="14" borderId="2" xfId="1"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43" fontId="47" fillId="14" borderId="2" xfId="1" applyFont="1" applyFill="1" applyBorder="1" applyAlignment="1">
      <alignment horizontal="center" vertical="center" wrapText="1"/>
    </xf>
    <xf numFmtId="43" fontId="47" fillId="14" borderId="3" xfId="1" applyFont="1" applyFill="1" applyBorder="1" applyAlignment="1">
      <alignment horizontal="center" vertical="center" wrapText="1"/>
    </xf>
    <xf numFmtId="4" fontId="60" fillId="17" borderId="4" xfId="2" applyNumberFormat="1" applyFont="1" applyFill="1" applyBorder="1" applyAlignment="1">
      <alignment horizontal="center" vertical="center" wrapText="1"/>
    </xf>
    <xf numFmtId="4" fontId="60" fillId="17" borderId="5" xfId="2" applyNumberFormat="1" applyFont="1" applyFill="1" applyBorder="1" applyAlignment="1">
      <alignment horizontal="center" vertical="center" wrapText="1"/>
    </xf>
    <xf numFmtId="0" fontId="45" fillId="0" borderId="0" xfId="0" applyFont="1" applyAlignment="1">
      <alignment horizontal="center"/>
    </xf>
    <xf numFmtId="0" fontId="47" fillId="11" borderId="2" xfId="0" applyFont="1" applyFill="1" applyBorder="1" applyAlignment="1">
      <alignment horizontal="center" vertical="center" wrapText="1"/>
    </xf>
    <xf numFmtId="0" fontId="47" fillId="11" borderId="3" xfId="0" applyFont="1" applyFill="1" applyBorder="1" applyAlignment="1">
      <alignment horizontal="center" vertical="center" wrapText="1"/>
    </xf>
    <xf numFmtId="4" fontId="48" fillId="15" borderId="2" xfId="2" applyNumberFormat="1" applyFont="1" applyFill="1" applyBorder="1" applyAlignment="1">
      <alignment horizontal="center" vertical="center" wrapText="1"/>
    </xf>
    <xf numFmtId="0" fontId="47" fillId="16" borderId="2" xfId="0" applyFont="1" applyFill="1" applyBorder="1" applyAlignment="1">
      <alignment horizontal="center" vertical="center" wrapText="1"/>
    </xf>
    <xf numFmtId="0" fontId="47" fillId="16" borderId="3" xfId="0" applyFont="1" applyFill="1" applyBorder="1" applyAlignment="1">
      <alignment horizontal="center" vertical="center" wrapText="1"/>
    </xf>
    <xf numFmtId="187" fontId="47" fillId="11" borderId="2" xfId="0" applyNumberFormat="1" applyFont="1" applyFill="1" applyBorder="1" applyAlignment="1">
      <alignment horizontal="center" vertical="center" wrapText="1"/>
    </xf>
    <xf numFmtId="187" fontId="47" fillId="11" borderId="3" xfId="0" applyNumberFormat="1" applyFont="1" applyFill="1" applyBorder="1" applyAlignment="1">
      <alignment horizontal="center" vertical="center" wrapText="1"/>
    </xf>
    <xf numFmtId="0" fontId="47" fillId="11" borderId="2" xfId="0" applyFont="1" applyFill="1" applyBorder="1" applyAlignment="1">
      <alignment horizontal="center" vertical="center"/>
    </xf>
    <xf numFmtId="0" fontId="47" fillId="11" borderId="3" xfId="0" applyFont="1" applyFill="1" applyBorder="1" applyAlignment="1">
      <alignment horizontal="center" vertical="center"/>
    </xf>
    <xf numFmtId="4" fontId="48" fillId="18" borderId="2" xfId="2" applyNumberFormat="1" applyFont="1" applyFill="1" applyBorder="1" applyAlignment="1">
      <alignment horizontal="center" vertical="top" wrapText="1"/>
    </xf>
    <xf numFmtId="0" fontId="47" fillId="0" borderId="2" xfId="0" applyFont="1" applyFill="1" applyBorder="1" applyAlignment="1">
      <alignment horizontal="center"/>
    </xf>
    <xf numFmtId="0" fontId="47" fillId="16" borderId="2" xfId="0" applyFont="1" applyFill="1" applyBorder="1" applyAlignment="1">
      <alignment horizontal="center" vertical="center"/>
    </xf>
    <xf numFmtId="187" fontId="47" fillId="11" borderId="2" xfId="0" applyNumberFormat="1" applyFont="1" applyFill="1" applyBorder="1" applyAlignment="1">
      <alignment horizontal="center" vertical="center"/>
    </xf>
    <xf numFmtId="0" fontId="44" fillId="0" borderId="0" xfId="0" applyFont="1" applyBorder="1" applyAlignment="1">
      <alignment horizontal="center" vertical="center"/>
    </xf>
    <xf numFmtId="43" fontId="44" fillId="0" borderId="0" xfId="1" applyFont="1" applyBorder="1" applyAlignment="1">
      <alignment horizontal="center" vertical="center"/>
    </xf>
    <xf numFmtId="4" fontId="40" fillId="17" borderId="2" xfId="2" applyNumberFormat="1" applyFont="1" applyFill="1" applyBorder="1" applyAlignment="1">
      <alignment horizontal="center" vertical="top" wrapText="1"/>
    </xf>
    <xf numFmtId="4" fontId="40" fillId="18" borderId="2" xfId="2" applyNumberFormat="1" applyFont="1" applyFill="1" applyBorder="1" applyAlignment="1">
      <alignment horizontal="center" vertical="top" wrapText="1"/>
    </xf>
    <xf numFmtId="0" fontId="57" fillId="0" borderId="0" xfId="0" applyFont="1" applyBorder="1" applyAlignment="1">
      <alignment horizontal="center" vertical="center"/>
    </xf>
    <xf numFmtId="43" fontId="57" fillId="0" borderId="0" xfId="1" applyFont="1" applyBorder="1" applyAlignment="1">
      <alignment horizontal="center" vertical="center"/>
    </xf>
    <xf numFmtId="4" fontId="48" fillId="17" borderId="4" xfId="2" applyNumberFormat="1" applyFont="1" applyFill="1" applyBorder="1" applyAlignment="1">
      <alignment horizontal="center" vertical="top" wrapText="1"/>
    </xf>
    <xf numFmtId="4" fontId="48" fillId="17" borderId="5" xfId="2" applyNumberFormat="1" applyFont="1" applyFill="1" applyBorder="1" applyAlignment="1">
      <alignment horizontal="center" vertical="top" wrapText="1"/>
    </xf>
    <xf numFmtId="0" fontId="47" fillId="11" borderId="16" xfId="0" applyFont="1" applyFill="1" applyBorder="1" applyAlignment="1">
      <alignment horizontal="center" vertical="center" wrapText="1"/>
    </xf>
    <xf numFmtId="0" fontId="47" fillId="11" borderId="21" xfId="0" applyFont="1" applyFill="1" applyBorder="1" applyAlignment="1">
      <alignment horizontal="center" vertical="center" wrapText="1"/>
    </xf>
    <xf numFmtId="0" fontId="47" fillId="11" borderId="23" xfId="0" applyFont="1" applyFill="1" applyBorder="1" applyAlignment="1">
      <alignment horizontal="center" vertical="center" wrapText="1"/>
    </xf>
    <xf numFmtId="0" fontId="47" fillId="11" borderId="17" xfId="0" applyFont="1" applyFill="1" applyBorder="1" applyAlignment="1">
      <alignment horizontal="center" vertical="center" wrapText="1"/>
    </xf>
    <xf numFmtId="0" fontId="47" fillId="11" borderId="18" xfId="0" applyFont="1" applyFill="1" applyBorder="1" applyAlignment="1">
      <alignment horizontal="center" vertical="center" wrapText="1"/>
    </xf>
    <xf numFmtId="0" fontId="47" fillId="11" borderId="19" xfId="0" applyFont="1" applyFill="1" applyBorder="1" applyAlignment="1">
      <alignment horizontal="center" vertical="center" wrapText="1"/>
    </xf>
    <xf numFmtId="4" fontId="48" fillId="15" borderId="17" xfId="2" applyNumberFormat="1" applyFont="1" applyFill="1" applyBorder="1" applyAlignment="1">
      <alignment horizontal="center" vertical="center" wrapText="1"/>
    </xf>
    <xf numFmtId="4" fontId="48" fillId="15" borderId="18" xfId="2" applyNumberFormat="1" applyFont="1" applyFill="1" applyBorder="1" applyAlignment="1">
      <alignment horizontal="center" vertical="center" wrapText="1"/>
    </xf>
    <xf numFmtId="4" fontId="48" fillId="15" borderId="19" xfId="2" applyNumberFormat="1" applyFont="1" applyFill="1" applyBorder="1" applyAlignment="1">
      <alignment horizontal="center" vertical="center" wrapText="1"/>
    </xf>
    <xf numFmtId="0" fontId="47" fillId="16" borderId="20" xfId="0" applyFont="1" applyFill="1" applyBorder="1" applyAlignment="1">
      <alignment horizontal="center" vertical="center" wrapText="1"/>
    </xf>
    <xf numFmtId="0" fontId="47" fillId="16" borderId="22" xfId="0" applyFont="1" applyFill="1" applyBorder="1" applyAlignment="1">
      <alignment horizontal="center" vertical="center" wrapText="1"/>
    </xf>
    <xf numFmtId="0" fontId="47" fillId="16" borderId="24" xfId="0" applyFont="1" applyFill="1" applyBorder="1" applyAlignment="1">
      <alignment horizontal="center" vertical="center" wrapText="1"/>
    </xf>
    <xf numFmtId="4" fontId="48" fillId="18" borderId="4" xfId="2" applyNumberFormat="1" applyFont="1" applyFill="1" applyBorder="1" applyAlignment="1">
      <alignment horizontal="center" vertical="top" wrapText="1"/>
    </xf>
    <xf numFmtId="4" fontId="48" fillId="18" borderId="13" xfId="2" applyNumberFormat="1" applyFont="1" applyFill="1" applyBorder="1" applyAlignment="1">
      <alignment horizontal="center" vertical="top" wrapText="1"/>
    </xf>
    <xf numFmtId="4" fontId="48" fillId="18" borderId="5" xfId="2" applyNumberFormat="1" applyFont="1" applyFill="1" applyBorder="1" applyAlignment="1">
      <alignment horizontal="center" vertical="top" wrapText="1"/>
    </xf>
    <xf numFmtId="0" fontId="47" fillId="11" borderId="6" xfId="0" applyFont="1" applyFill="1" applyBorder="1" applyAlignment="1">
      <alignment horizontal="center" vertical="center" wrapText="1"/>
    </xf>
    <xf numFmtId="43" fontId="47" fillId="13" borderId="2" xfId="1" applyFont="1" applyFill="1" applyBorder="1" applyAlignment="1">
      <alignment horizontal="center" vertical="center" wrapText="1"/>
    </xf>
    <xf numFmtId="4" fontId="48" fillId="13" borderId="2" xfId="2" applyNumberFormat="1" applyFont="1" applyFill="1" applyBorder="1" applyAlignment="1">
      <alignment horizontal="center" vertical="top" wrapText="1"/>
    </xf>
    <xf numFmtId="0" fontId="47" fillId="13" borderId="2" xfId="0" applyFont="1" applyFill="1" applyBorder="1" applyAlignment="1">
      <alignment horizontal="center" vertical="center" wrapText="1"/>
    </xf>
    <xf numFmtId="4" fontId="48" fillId="13" borderId="2" xfId="2" applyNumberFormat="1" applyFont="1" applyFill="1" applyBorder="1" applyAlignment="1">
      <alignment horizontal="center" vertical="center" wrapText="1"/>
    </xf>
    <xf numFmtId="0" fontId="32" fillId="0" borderId="0" xfId="0" applyFont="1" applyBorder="1" applyAlignment="1">
      <alignment horizontal="center" vertical="center"/>
    </xf>
    <xf numFmtId="43" fontId="32" fillId="0" borderId="0" xfId="1" applyFont="1" applyBorder="1" applyAlignment="1">
      <alignment horizontal="center" vertical="center"/>
    </xf>
    <xf numFmtId="4" fontId="28" fillId="11" borderId="4" xfId="2" applyNumberFormat="1" applyFont="1" applyFill="1" applyBorder="1" applyAlignment="1">
      <alignment horizontal="center" vertical="top" wrapText="1"/>
    </xf>
    <xf numFmtId="4" fontId="28" fillId="11" borderId="13" xfId="2" applyNumberFormat="1" applyFont="1" applyFill="1" applyBorder="1" applyAlignment="1">
      <alignment horizontal="center" vertical="top" wrapText="1"/>
    </xf>
    <xf numFmtId="0" fontId="27" fillId="0" borderId="2" xfId="0" applyFont="1" applyBorder="1" applyAlignment="1">
      <alignment horizontal="center" vertical="center"/>
    </xf>
    <xf numFmtId="0" fontId="25" fillId="0" borderId="0" xfId="0" applyFont="1" applyAlignment="1">
      <alignment horizontal="center"/>
    </xf>
    <xf numFmtId="0" fontId="27" fillId="11" borderId="16"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9" xfId="0" applyFont="1" applyFill="1" applyBorder="1" applyAlignment="1">
      <alignment horizontal="center" vertical="center" wrapText="1"/>
    </xf>
    <xf numFmtId="4" fontId="28" fillId="11" borderId="17" xfId="2" applyNumberFormat="1" applyFont="1" applyFill="1" applyBorder="1" applyAlignment="1">
      <alignment horizontal="center" vertical="center" wrapText="1"/>
    </xf>
    <xf numFmtId="4" fontId="28" fillId="11" borderId="18" xfId="2" applyNumberFormat="1" applyFont="1" applyFill="1" applyBorder="1" applyAlignment="1">
      <alignment horizontal="center" vertical="center" wrapText="1"/>
    </xf>
    <xf numFmtId="4" fontId="28" fillId="11" borderId="19" xfId="2" applyNumberFormat="1"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27" fillId="11" borderId="22" xfId="0" applyFont="1" applyFill="1" applyBorder="1" applyAlignment="1">
      <alignment horizontal="center" vertical="center" wrapText="1"/>
    </xf>
    <xf numFmtId="187" fontId="27" fillId="11" borderId="2" xfId="0" applyNumberFormat="1" applyFont="1" applyFill="1" applyBorder="1" applyAlignment="1">
      <alignment horizontal="center" vertical="center" wrapText="1"/>
    </xf>
    <xf numFmtId="187" fontId="27" fillId="11" borderId="3" xfId="0" applyNumberFormat="1" applyFont="1" applyFill="1" applyBorder="1" applyAlignment="1">
      <alignment horizontal="center" vertical="center" wrapText="1"/>
    </xf>
    <xf numFmtId="0" fontId="27" fillId="11" borderId="2" xfId="0" applyFont="1" applyFill="1" applyBorder="1" applyAlignment="1">
      <alignment horizontal="center" vertical="center"/>
    </xf>
    <xf numFmtId="0" fontId="27" fillId="11" borderId="3" xfId="0" applyFont="1" applyFill="1" applyBorder="1" applyAlignment="1">
      <alignment horizontal="center" vertical="center"/>
    </xf>
    <xf numFmtId="4" fontId="28" fillId="11" borderId="5" xfId="2" applyNumberFormat="1" applyFont="1" applyFill="1" applyBorder="1" applyAlignment="1">
      <alignment horizontal="center" vertical="top" wrapText="1"/>
    </xf>
    <xf numFmtId="0" fontId="27" fillId="11" borderId="10" xfId="0" applyFont="1" applyFill="1" applyBorder="1" applyAlignment="1">
      <alignment horizontal="center" vertical="center"/>
    </xf>
    <xf numFmtId="43" fontId="27" fillId="11" borderId="2" xfId="1" applyFont="1" applyFill="1" applyBorder="1" applyAlignment="1">
      <alignment horizontal="center" vertical="center" wrapText="1"/>
    </xf>
    <xf numFmtId="43" fontId="27" fillId="11" borderId="3" xfId="1" applyFont="1" applyFill="1" applyBorder="1" applyAlignment="1">
      <alignment horizontal="center"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11" borderId="23" xfId="0" applyFont="1" applyFill="1" applyBorder="1" applyAlignment="1">
      <alignment horizontal="center" vertical="center" wrapText="1"/>
    </xf>
    <xf numFmtId="0" fontId="27" fillId="11" borderId="24" xfId="0" applyFont="1" applyFill="1" applyBorder="1" applyAlignment="1">
      <alignment horizontal="center" vertical="center" wrapText="1"/>
    </xf>
    <xf numFmtId="14" fontId="27" fillId="11" borderId="2" xfId="0" applyNumberFormat="1"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22" fillId="0" borderId="0" xfId="0" applyFont="1" applyBorder="1" applyAlignment="1">
      <alignment horizontal="center" vertical="center"/>
    </xf>
    <xf numFmtId="43" fontId="22" fillId="0" borderId="0" xfId="1" applyFont="1" applyBorder="1" applyAlignment="1">
      <alignment horizontal="center" vertical="center"/>
    </xf>
    <xf numFmtId="4" fontId="18" fillId="11" borderId="4" xfId="2" applyNumberFormat="1" applyFont="1" applyFill="1" applyBorder="1" applyAlignment="1">
      <alignment horizontal="center" vertical="top" wrapText="1"/>
    </xf>
    <xf numFmtId="4" fontId="18" fillId="11" borderId="13" xfId="2" applyNumberFormat="1" applyFont="1" applyFill="1" applyBorder="1" applyAlignment="1">
      <alignment horizontal="center" vertical="top" wrapText="1"/>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14" fillId="0" borderId="0" xfId="0" applyFont="1" applyAlignment="1">
      <alignment horizontal="center"/>
    </xf>
    <xf numFmtId="0" fontId="16" fillId="11" borderId="3"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5" xfId="0" applyFont="1" applyFill="1" applyBorder="1" applyAlignment="1">
      <alignment horizontal="center" vertical="center" wrapText="1"/>
    </xf>
    <xf numFmtId="4" fontId="18" fillId="11" borderId="4" xfId="2" applyNumberFormat="1" applyFont="1" applyFill="1" applyBorder="1" applyAlignment="1">
      <alignment horizontal="center" vertical="center" wrapText="1"/>
    </xf>
    <xf numFmtId="4" fontId="18" fillId="11" borderId="13" xfId="2" applyNumberFormat="1" applyFont="1" applyFill="1" applyBorder="1" applyAlignment="1">
      <alignment horizontal="center" vertical="center" wrapText="1"/>
    </xf>
    <xf numFmtId="4" fontId="18" fillId="11" borderId="14" xfId="2" applyNumberFormat="1" applyFont="1" applyFill="1" applyBorder="1" applyAlignment="1">
      <alignment horizontal="center" vertical="center" wrapText="1"/>
    </xf>
    <xf numFmtId="14" fontId="16" fillId="11" borderId="2"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4" fontId="18" fillId="11" borderId="5" xfId="2" applyNumberFormat="1" applyFont="1" applyFill="1" applyBorder="1" applyAlignment="1">
      <alignment horizontal="center" vertical="top" wrapText="1"/>
    </xf>
    <xf numFmtId="43" fontId="16" fillId="11" borderId="2" xfId="1" applyFont="1" applyFill="1" applyBorder="1" applyAlignment="1">
      <alignment horizontal="center" vertical="center" wrapText="1"/>
    </xf>
    <xf numFmtId="187" fontId="16" fillId="11" borderId="2" xfId="0" applyNumberFormat="1" applyFont="1" applyFill="1" applyBorder="1" applyAlignment="1">
      <alignment horizontal="center" vertical="center" wrapText="1"/>
    </xf>
    <xf numFmtId="0" fontId="16" fillId="11" borderId="3" xfId="0" applyFont="1" applyFill="1" applyBorder="1" applyAlignment="1">
      <alignment horizontal="left" vertical="center" wrapText="1"/>
    </xf>
    <xf numFmtId="0" fontId="16" fillId="11" borderId="6" xfId="0" applyFont="1" applyFill="1" applyBorder="1" applyAlignment="1">
      <alignment horizontal="left" vertical="center" wrapText="1"/>
    </xf>
    <xf numFmtId="43" fontId="8" fillId="7" borderId="3" xfId="1" applyFont="1" applyFill="1" applyBorder="1" applyAlignment="1">
      <alignment horizontal="center" vertical="center"/>
    </xf>
    <xf numFmtId="43" fontId="8" fillId="7" borderId="6" xfId="1" applyFont="1" applyFill="1" applyBorder="1" applyAlignment="1">
      <alignment horizontal="center" vertical="center"/>
    </xf>
    <xf numFmtId="43" fontId="8" fillId="4" borderId="2" xfId="1" applyFont="1" applyFill="1" applyBorder="1" applyAlignment="1">
      <alignment horizontal="center"/>
    </xf>
    <xf numFmtId="0" fontId="8" fillId="2" borderId="2" xfId="0" applyFont="1" applyFill="1" applyBorder="1" applyAlignment="1">
      <alignment horizontal="center"/>
    </xf>
    <xf numFmtId="0" fontId="8" fillId="7" borderId="2" xfId="0" applyFont="1" applyFill="1" applyBorder="1" applyAlignment="1">
      <alignment horizontal="center"/>
    </xf>
    <xf numFmtId="43" fontId="8" fillId="4" borderId="4" xfId="1" applyFont="1" applyFill="1" applyBorder="1" applyAlignment="1">
      <alignment horizontal="center" vertical="center" shrinkToFit="1"/>
    </xf>
    <xf numFmtId="43" fontId="8" fillId="4" borderId="5" xfId="1" applyFont="1" applyFill="1" applyBorder="1" applyAlignment="1">
      <alignment horizontal="center" vertical="center" shrinkToFit="1"/>
    </xf>
    <xf numFmtId="43" fontId="8" fillId="4" borderId="2" xfId="1" applyFont="1" applyFill="1" applyBorder="1" applyAlignment="1">
      <alignment horizontal="center" vertical="center" wrapText="1" shrinkToFit="1"/>
    </xf>
    <xf numFmtId="43" fontId="8" fillId="4" borderId="2" xfId="1" applyFont="1" applyFill="1" applyBorder="1" applyAlignment="1">
      <alignment horizontal="center" vertical="center" shrinkToFit="1"/>
    </xf>
    <xf numFmtId="43" fontId="8" fillId="8" borderId="2" xfId="1" applyFont="1" applyFill="1" applyBorder="1" applyAlignment="1">
      <alignment horizontal="center"/>
    </xf>
    <xf numFmtId="43" fontId="10" fillId="9" borderId="2" xfId="1" applyFont="1" applyFill="1" applyBorder="1" applyAlignment="1">
      <alignment horizontal="center"/>
    </xf>
    <xf numFmtId="43" fontId="8" fillId="10" borderId="4" xfId="1" applyFont="1" applyFill="1" applyBorder="1" applyAlignment="1">
      <alignment horizontal="center"/>
    </xf>
    <xf numFmtId="43" fontId="8" fillId="10" borderId="5" xfId="1" applyFont="1" applyFill="1" applyBorder="1" applyAlignment="1">
      <alignment horizontal="center"/>
    </xf>
    <xf numFmtId="43" fontId="8" fillId="7" borderId="3" xfId="1"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3" fontId="8" fillId="0" borderId="2" xfId="1" applyFont="1" applyBorder="1" applyAlignment="1">
      <alignment horizontal="center" vertical="center"/>
    </xf>
    <xf numFmtId="0" fontId="8" fillId="0" borderId="3"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2" fillId="0" borderId="1" xfId="0" applyFont="1" applyBorder="1" applyAlignment="1">
      <alignment horizontal="center"/>
    </xf>
    <xf numFmtId="43" fontId="4" fillId="0" borderId="2" xfId="1" applyFont="1" applyFill="1" applyBorder="1" applyAlignment="1">
      <alignment horizontal="center" vertical="center"/>
    </xf>
    <xf numFmtId="43" fontId="4" fillId="0" borderId="2" xfId="1" applyFont="1" applyFill="1" applyBorder="1" applyAlignment="1">
      <alignment horizontal="center" vertical="top"/>
    </xf>
    <xf numFmtId="0" fontId="4" fillId="0" borderId="2" xfId="0" applyFont="1" applyFill="1" applyBorder="1" applyAlignment="1">
      <alignment horizontal="center" vertical="center"/>
    </xf>
    <xf numFmtId="0" fontId="23" fillId="0" borderId="0" xfId="0" applyFont="1" applyFill="1" applyBorder="1" applyAlignment="1">
      <alignment horizontal="center" vertical="top"/>
    </xf>
    <xf numFmtId="43" fontId="54" fillId="0" borderId="2" xfId="1" applyFont="1" applyBorder="1" applyAlignment="1">
      <alignment horizontal="center" vertical="top"/>
    </xf>
    <xf numFmtId="43" fontId="54" fillId="0" borderId="11" xfId="1" applyFont="1" applyBorder="1" applyAlignment="1">
      <alignment shrinkToFit="1"/>
    </xf>
    <xf numFmtId="43" fontId="58" fillId="0" borderId="0" xfId="1" applyFont="1" applyBorder="1"/>
    <xf numFmtId="0" fontId="54" fillId="0" borderId="0" xfId="0" applyFont="1" applyBorder="1" applyAlignment="1">
      <alignment horizontal="center" vertical="center"/>
    </xf>
    <xf numFmtId="43" fontId="54" fillId="0" borderId="0" xfId="1" applyFont="1" applyBorder="1" applyAlignment="1">
      <alignment vertical="center" shrinkToFit="1"/>
    </xf>
    <xf numFmtId="0" fontId="54" fillId="0" borderId="0" xfId="0" applyFont="1" applyBorder="1" applyAlignment="1">
      <alignment vertical="center"/>
    </xf>
    <xf numFmtId="0" fontId="58" fillId="0" borderId="0" xfId="0" applyFont="1" applyBorder="1" applyAlignment="1">
      <alignment horizontal="center"/>
    </xf>
    <xf numFmtId="187" fontId="58" fillId="0" borderId="0" xfId="0" applyNumberFormat="1" applyFont="1" applyBorder="1" applyAlignment="1">
      <alignment horizontal="center"/>
    </xf>
    <xf numFmtId="0" fontId="58" fillId="0" borderId="0" xfId="0" applyFont="1" applyBorder="1" applyAlignment="1">
      <alignment horizontal="center" wrapText="1"/>
    </xf>
    <xf numFmtId="0" fontId="58" fillId="0" borderId="0" xfId="0" applyFont="1" applyBorder="1" applyAlignment="1">
      <alignment horizontal="left" wrapText="1"/>
    </xf>
    <xf numFmtId="0" fontId="58" fillId="0" borderId="0" xfId="0" applyFont="1" applyBorder="1"/>
  </cellXfs>
  <cellStyles count="4">
    <cellStyle name="Comma" xfId="1" builtinId="3"/>
    <cellStyle name="Normal" xfId="0" builtinId="0"/>
    <cellStyle name="ปกติ 2 2" xfId="2"/>
    <cellStyle name="ปกติ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0"/>
  <sheetViews>
    <sheetView zoomScale="115" zoomScaleNormal="115" workbookViewId="0">
      <selection activeCell="B29" sqref="B29"/>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7" t="s">
        <v>2495</v>
      </c>
      <c r="C1" s="587"/>
      <c r="D1" s="587"/>
      <c r="E1" s="587"/>
      <c r="F1" s="587"/>
      <c r="G1" s="587"/>
      <c r="H1" s="587"/>
      <c r="I1" s="587"/>
      <c r="J1" s="587"/>
      <c r="K1" s="587"/>
      <c r="L1" s="587"/>
      <c r="M1" s="587"/>
      <c r="N1" s="587"/>
      <c r="O1" s="587"/>
    </row>
    <row r="2" spans="1:18" s="405" customFormat="1" x14ac:dyDescent="0.5">
      <c r="B2" s="587" t="s">
        <v>2496</v>
      </c>
      <c r="C2" s="587"/>
      <c r="D2" s="587"/>
      <c r="E2" s="587"/>
      <c r="F2" s="587"/>
      <c r="G2" s="587"/>
      <c r="H2" s="587"/>
      <c r="I2" s="587"/>
      <c r="J2" s="587"/>
      <c r="K2" s="587"/>
      <c r="L2" s="587"/>
      <c r="M2" s="587"/>
      <c r="N2" s="587"/>
      <c r="O2" s="587"/>
    </row>
    <row r="3" spans="1:18" s="405" customFormat="1" x14ac:dyDescent="0.5">
      <c r="B3" s="588" t="s">
        <v>3478</v>
      </c>
      <c r="C3" s="588"/>
      <c r="D3" s="588"/>
      <c r="E3" s="588"/>
      <c r="F3" s="588"/>
      <c r="G3" s="588"/>
      <c r="H3" s="588"/>
      <c r="I3" s="588"/>
      <c r="J3" s="588"/>
      <c r="K3" s="588"/>
      <c r="L3" s="588"/>
      <c r="M3" s="588"/>
      <c r="N3" s="588"/>
      <c r="O3" s="588"/>
    </row>
    <row r="4" spans="1:18" s="405" customFormat="1" x14ac:dyDescent="0.5">
      <c r="A4" s="577"/>
      <c r="B4" s="577"/>
      <c r="C4" s="577"/>
      <c r="D4" s="577"/>
      <c r="E4" s="577"/>
      <c r="F4" s="577"/>
      <c r="G4" s="577"/>
      <c r="H4" s="577"/>
      <c r="I4" s="577"/>
      <c r="J4" s="577"/>
      <c r="K4" s="577"/>
      <c r="L4" s="577"/>
      <c r="M4" s="577"/>
      <c r="N4" s="577"/>
      <c r="O4" s="577"/>
    </row>
    <row r="5" spans="1:18" s="406" customFormat="1" ht="21" x14ac:dyDescent="0.45">
      <c r="A5" s="589" t="s">
        <v>2497</v>
      </c>
      <c r="B5" s="591" t="s">
        <v>1915</v>
      </c>
      <c r="C5" s="592" t="s">
        <v>2498</v>
      </c>
      <c r="D5" s="593"/>
      <c r="E5" s="593"/>
      <c r="F5" s="593"/>
      <c r="G5" s="593"/>
      <c r="H5" s="593"/>
      <c r="I5" s="593"/>
      <c r="J5" s="593"/>
      <c r="K5" s="593"/>
      <c r="L5" s="593"/>
      <c r="M5" s="593"/>
      <c r="N5" s="594"/>
      <c r="O5" s="595" t="s">
        <v>1919</v>
      </c>
    </row>
    <row r="6" spans="1:18" s="406" customFormat="1" ht="21" x14ac:dyDescent="0.45">
      <c r="A6" s="590"/>
      <c r="B6" s="591"/>
      <c r="C6" s="407" t="s">
        <v>3479</v>
      </c>
      <c r="D6" s="407" t="s">
        <v>3480</v>
      </c>
      <c r="E6" s="407" t="s">
        <v>3481</v>
      </c>
      <c r="F6" s="407" t="s">
        <v>3482</v>
      </c>
      <c r="G6" s="407" t="s">
        <v>3483</v>
      </c>
      <c r="H6" s="407" t="s">
        <v>3484</v>
      </c>
      <c r="I6" s="407" t="s">
        <v>3485</v>
      </c>
      <c r="J6" s="407" t="s">
        <v>3486</v>
      </c>
      <c r="K6" s="407" t="s">
        <v>3487</v>
      </c>
      <c r="L6" s="407" t="s">
        <v>3488</v>
      </c>
      <c r="M6" s="407" t="s">
        <v>3489</v>
      </c>
      <c r="N6" s="407" t="s">
        <v>3490</v>
      </c>
      <c r="O6" s="596"/>
    </row>
    <row r="7" spans="1:18" s="409" customFormat="1" ht="21" x14ac:dyDescent="0.45">
      <c r="A7" s="311">
        <v>1</v>
      </c>
      <c r="B7" s="308" t="s">
        <v>1186</v>
      </c>
      <c r="C7" s="187">
        <v>0</v>
      </c>
      <c r="D7" s="187">
        <v>63000</v>
      </c>
      <c r="E7" s="187">
        <v>0</v>
      </c>
      <c r="F7" s="187">
        <v>15000</v>
      </c>
      <c r="G7" s="187">
        <v>1403910</v>
      </c>
      <c r="H7" s="187">
        <v>0</v>
      </c>
      <c r="I7" s="187">
        <v>0</v>
      </c>
      <c r="J7" s="187">
        <v>0</v>
      </c>
      <c r="K7" s="187">
        <v>0</v>
      </c>
      <c r="L7" s="187">
        <v>0</v>
      </c>
      <c r="M7" s="187">
        <v>0</v>
      </c>
      <c r="N7" s="187">
        <v>0</v>
      </c>
      <c r="O7" s="408">
        <f t="shared" ref="O7:O18" si="0">SUM(C7:N7)</f>
        <v>1481910</v>
      </c>
      <c r="P7" s="432"/>
      <c r="Q7" s="432"/>
      <c r="R7" s="433"/>
    </row>
    <row r="8" spans="1:18" s="409" customFormat="1" ht="21" hidden="1" x14ac:dyDescent="0.45">
      <c r="A8" s="311">
        <v>2</v>
      </c>
      <c r="B8" s="308" t="s">
        <v>360</v>
      </c>
      <c r="C8" s="187">
        <v>0</v>
      </c>
      <c r="D8" s="187">
        <v>0</v>
      </c>
      <c r="E8" s="187">
        <v>0</v>
      </c>
      <c r="F8" s="187">
        <v>0</v>
      </c>
      <c r="G8" s="187">
        <v>0</v>
      </c>
      <c r="H8" s="187">
        <v>0</v>
      </c>
      <c r="I8" s="187">
        <v>0</v>
      </c>
      <c r="J8" s="187">
        <v>0</v>
      </c>
      <c r="K8" s="187">
        <v>0</v>
      </c>
      <c r="L8" s="187">
        <v>0</v>
      </c>
      <c r="M8" s="187">
        <v>0</v>
      </c>
      <c r="N8" s="187">
        <v>0</v>
      </c>
      <c r="O8" s="408">
        <f t="shared" si="0"/>
        <v>0</v>
      </c>
      <c r="P8" s="432"/>
      <c r="Q8" s="432"/>
      <c r="R8" s="433"/>
    </row>
    <row r="9" spans="1:18" s="409" customFormat="1" ht="21" x14ac:dyDescent="0.45">
      <c r="A9" s="311">
        <v>3</v>
      </c>
      <c r="B9" s="308" t="s">
        <v>2126</v>
      </c>
      <c r="C9" s="187">
        <v>0</v>
      </c>
      <c r="D9" s="187">
        <v>95000</v>
      </c>
      <c r="E9" s="187">
        <v>0</v>
      </c>
      <c r="F9" s="187">
        <v>0</v>
      </c>
      <c r="G9" s="187">
        <v>25000</v>
      </c>
      <c r="H9" s="187">
        <v>142500</v>
      </c>
      <c r="I9" s="187">
        <v>0</v>
      </c>
      <c r="J9" s="187">
        <v>0</v>
      </c>
      <c r="K9" s="187">
        <v>0</v>
      </c>
      <c r="L9" s="187">
        <v>0</v>
      </c>
      <c r="M9" s="187">
        <v>0</v>
      </c>
      <c r="N9" s="187">
        <v>0</v>
      </c>
      <c r="O9" s="408">
        <f t="shared" si="0"/>
        <v>262500</v>
      </c>
      <c r="P9" s="432"/>
      <c r="Q9" s="432"/>
      <c r="R9" s="433"/>
    </row>
    <row r="10" spans="1:18" s="409" customFormat="1" ht="21" x14ac:dyDescent="0.45">
      <c r="A10" s="311">
        <v>4</v>
      </c>
      <c r="B10" s="308" t="s">
        <v>161</v>
      </c>
      <c r="C10" s="187">
        <v>0</v>
      </c>
      <c r="D10" s="187">
        <v>371614</v>
      </c>
      <c r="E10" s="187">
        <v>490200</v>
      </c>
      <c r="F10" s="187">
        <v>44175</v>
      </c>
      <c r="G10" s="187">
        <v>870565</v>
      </c>
      <c r="H10" s="187">
        <v>908000</v>
      </c>
      <c r="I10" s="187">
        <v>0</v>
      </c>
      <c r="J10" s="187">
        <v>0</v>
      </c>
      <c r="K10" s="187">
        <v>0</v>
      </c>
      <c r="L10" s="187">
        <v>0</v>
      </c>
      <c r="M10" s="187">
        <v>0</v>
      </c>
      <c r="N10" s="187">
        <v>0</v>
      </c>
      <c r="O10" s="408">
        <f t="shared" si="0"/>
        <v>2684554</v>
      </c>
      <c r="P10" s="432"/>
      <c r="Q10" s="432"/>
      <c r="R10" s="433"/>
    </row>
    <row r="11" spans="1:18" s="409" customFormat="1" ht="21" hidden="1" customHeight="1" x14ac:dyDescent="0.45">
      <c r="A11" s="311">
        <v>5</v>
      </c>
      <c r="B11" s="308" t="s">
        <v>156</v>
      </c>
      <c r="C11" s="187">
        <v>0</v>
      </c>
      <c r="D11" s="187">
        <v>0</v>
      </c>
      <c r="E11" s="187">
        <v>0</v>
      </c>
      <c r="F11" s="187">
        <v>0</v>
      </c>
      <c r="G11" s="187">
        <v>0</v>
      </c>
      <c r="H11" s="187">
        <v>67373.070000000007</v>
      </c>
      <c r="I11" s="187">
        <v>0</v>
      </c>
      <c r="J11" s="187">
        <v>0</v>
      </c>
      <c r="K11" s="187">
        <v>0</v>
      </c>
      <c r="L11" s="187">
        <v>0</v>
      </c>
      <c r="M11" s="187">
        <v>0</v>
      </c>
      <c r="N11" s="187">
        <v>0</v>
      </c>
      <c r="O11" s="408">
        <f t="shared" si="0"/>
        <v>67373.070000000007</v>
      </c>
      <c r="P11" s="432"/>
      <c r="Q11" s="432"/>
      <c r="R11" s="433"/>
    </row>
    <row r="12" spans="1:18" s="409" customFormat="1" ht="21" x14ac:dyDescent="0.45">
      <c r="A12" s="311">
        <v>6</v>
      </c>
      <c r="B12" s="308" t="s">
        <v>2434</v>
      </c>
      <c r="C12" s="187">
        <v>0</v>
      </c>
      <c r="D12" s="187">
        <v>0</v>
      </c>
      <c r="E12" s="187">
        <v>357271.2</v>
      </c>
      <c r="F12" s="187">
        <v>0</v>
      </c>
      <c r="G12" s="187">
        <v>647610</v>
      </c>
      <c r="H12" s="187">
        <v>78000</v>
      </c>
      <c r="I12" s="187">
        <v>0</v>
      </c>
      <c r="J12" s="187">
        <v>0</v>
      </c>
      <c r="K12" s="187">
        <v>0</v>
      </c>
      <c r="L12" s="187">
        <v>0</v>
      </c>
      <c r="M12" s="187">
        <v>0</v>
      </c>
      <c r="N12" s="187">
        <v>0</v>
      </c>
      <c r="O12" s="408">
        <f t="shared" si="0"/>
        <v>1082881.2</v>
      </c>
      <c r="P12" s="432"/>
      <c r="Q12" s="432"/>
      <c r="R12" s="433"/>
    </row>
    <row r="13" spans="1:18" s="409" customFormat="1" ht="21" hidden="1" customHeight="1" x14ac:dyDescent="0.45">
      <c r="A13" s="311">
        <v>7</v>
      </c>
      <c r="B13" s="308" t="s">
        <v>1229</v>
      </c>
      <c r="C13" s="411">
        <v>0</v>
      </c>
      <c r="D13" s="411">
        <v>0</v>
      </c>
      <c r="E13" s="411">
        <v>0</v>
      </c>
      <c r="F13" s="411">
        <v>10000</v>
      </c>
      <c r="G13" s="411">
        <v>10000</v>
      </c>
      <c r="H13" s="411">
        <v>395000</v>
      </c>
      <c r="I13" s="411">
        <v>0</v>
      </c>
      <c r="J13" s="411">
        <v>0</v>
      </c>
      <c r="K13" s="411">
        <v>0</v>
      </c>
      <c r="L13" s="411">
        <v>0</v>
      </c>
      <c r="M13" s="411">
        <v>0</v>
      </c>
      <c r="N13" s="411">
        <v>0</v>
      </c>
      <c r="O13" s="408">
        <f t="shared" si="0"/>
        <v>415000</v>
      </c>
      <c r="P13" s="432"/>
      <c r="Q13" s="432"/>
      <c r="R13" s="433"/>
    </row>
    <row r="14" spans="1:18" s="409" customFormat="1" ht="21" hidden="1" x14ac:dyDescent="0.45">
      <c r="A14" s="311">
        <v>8</v>
      </c>
      <c r="B14" s="308" t="s">
        <v>308</v>
      </c>
      <c r="C14" s="411">
        <v>0</v>
      </c>
      <c r="D14" s="411">
        <v>0</v>
      </c>
      <c r="E14" s="411">
        <v>0</v>
      </c>
      <c r="F14" s="411">
        <v>0</v>
      </c>
      <c r="G14" s="411">
        <v>0</v>
      </c>
      <c r="H14" s="411">
        <v>0</v>
      </c>
      <c r="I14" s="411">
        <v>0</v>
      </c>
      <c r="J14" s="411">
        <v>0</v>
      </c>
      <c r="K14" s="411">
        <v>0</v>
      </c>
      <c r="L14" s="411">
        <v>0</v>
      </c>
      <c r="M14" s="411">
        <v>0</v>
      </c>
      <c r="N14" s="411">
        <v>0</v>
      </c>
      <c r="O14" s="408">
        <f t="shared" si="0"/>
        <v>0</v>
      </c>
      <c r="P14" s="432"/>
      <c r="Q14" s="432"/>
      <c r="R14" s="433"/>
    </row>
    <row r="15" spans="1:18" s="409" customFormat="1" ht="21" x14ac:dyDescent="0.45">
      <c r="A15" s="311">
        <v>9</v>
      </c>
      <c r="B15" s="308" t="s">
        <v>19</v>
      </c>
      <c r="C15" s="187">
        <v>83973</v>
      </c>
      <c r="D15" s="187">
        <v>0</v>
      </c>
      <c r="E15" s="187">
        <v>0</v>
      </c>
      <c r="F15" s="187">
        <v>0</v>
      </c>
      <c r="G15" s="187">
        <v>200000</v>
      </c>
      <c r="H15" s="187">
        <v>142500</v>
      </c>
      <c r="I15" s="187">
        <v>0</v>
      </c>
      <c r="J15" s="187">
        <v>0</v>
      </c>
      <c r="K15" s="187">
        <v>0</v>
      </c>
      <c r="L15" s="187">
        <v>0</v>
      </c>
      <c r="M15" s="187">
        <v>0</v>
      </c>
      <c r="N15" s="187">
        <v>0</v>
      </c>
      <c r="O15" s="408">
        <f t="shared" si="0"/>
        <v>426473</v>
      </c>
      <c r="P15" s="432"/>
      <c r="Q15" s="432"/>
      <c r="R15" s="433"/>
    </row>
    <row r="16" spans="1:18" s="409" customFormat="1" ht="21" x14ac:dyDescent="0.45">
      <c r="A16" s="311">
        <v>10</v>
      </c>
      <c r="B16" s="308" t="s">
        <v>117</v>
      </c>
      <c r="C16" s="411">
        <v>0</v>
      </c>
      <c r="D16" s="411">
        <v>1004000</v>
      </c>
      <c r="E16" s="411">
        <v>140000</v>
      </c>
      <c r="F16" s="411">
        <v>78000</v>
      </c>
      <c r="G16" s="411">
        <v>0</v>
      </c>
      <c r="H16" s="411">
        <v>0</v>
      </c>
      <c r="I16" s="411">
        <v>0</v>
      </c>
      <c r="J16" s="411">
        <v>0</v>
      </c>
      <c r="K16" s="411">
        <v>0</v>
      </c>
      <c r="L16" s="411">
        <v>0</v>
      </c>
      <c r="M16" s="411">
        <v>0</v>
      </c>
      <c r="N16" s="411">
        <v>0</v>
      </c>
      <c r="O16" s="408">
        <f t="shared" si="0"/>
        <v>1222000</v>
      </c>
      <c r="P16" s="432"/>
      <c r="Q16" s="432"/>
      <c r="R16" s="433"/>
    </row>
    <row r="17" spans="1:18" s="409" customFormat="1" ht="21" hidden="1" customHeight="1" x14ac:dyDescent="0.45">
      <c r="A17" s="311">
        <v>11</v>
      </c>
      <c r="B17" s="308" t="s">
        <v>3470</v>
      </c>
      <c r="C17" s="187">
        <v>0</v>
      </c>
      <c r="D17" s="187">
        <v>0</v>
      </c>
      <c r="E17" s="187">
        <v>0</v>
      </c>
      <c r="F17" s="187">
        <v>0</v>
      </c>
      <c r="G17" s="187">
        <v>492450</v>
      </c>
      <c r="H17" s="187">
        <v>0</v>
      </c>
      <c r="I17" s="187">
        <v>0</v>
      </c>
      <c r="J17" s="187">
        <v>0</v>
      </c>
      <c r="K17" s="187">
        <v>0</v>
      </c>
      <c r="L17" s="187">
        <v>0</v>
      </c>
      <c r="M17" s="187">
        <v>0</v>
      </c>
      <c r="N17" s="187">
        <v>0</v>
      </c>
      <c r="O17" s="408">
        <f t="shared" si="0"/>
        <v>492450</v>
      </c>
      <c r="P17" s="432"/>
      <c r="Q17" s="432"/>
      <c r="R17" s="433"/>
    </row>
    <row r="18" spans="1:18" s="409" customFormat="1" ht="21" x14ac:dyDescent="0.45">
      <c r="A18" s="311">
        <v>12</v>
      </c>
      <c r="B18" s="308" t="s">
        <v>706</v>
      </c>
      <c r="C18" s="411">
        <v>0</v>
      </c>
      <c r="D18" s="411">
        <v>0</v>
      </c>
      <c r="E18" s="411">
        <v>99500</v>
      </c>
      <c r="F18" s="411">
        <v>1175000</v>
      </c>
      <c r="G18" s="411">
        <v>647600</v>
      </c>
      <c r="H18" s="411">
        <v>96900</v>
      </c>
      <c r="I18" s="411">
        <v>0</v>
      </c>
      <c r="J18" s="411">
        <v>0</v>
      </c>
      <c r="K18" s="411">
        <v>0</v>
      </c>
      <c r="L18" s="411">
        <v>0</v>
      </c>
      <c r="M18" s="411">
        <v>0</v>
      </c>
      <c r="N18" s="411">
        <v>0</v>
      </c>
      <c r="O18" s="408">
        <f t="shared" si="0"/>
        <v>2019000</v>
      </c>
      <c r="P18" s="432"/>
      <c r="Q18" s="432"/>
      <c r="R18" s="433"/>
    </row>
    <row r="19" spans="1:18" s="409" customFormat="1" ht="21" x14ac:dyDescent="0.45">
      <c r="A19" s="311">
        <v>13</v>
      </c>
      <c r="B19" s="308" t="s">
        <v>526</v>
      </c>
      <c r="C19" s="411">
        <v>0</v>
      </c>
      <c r="D19" s="411">
        <v>50000</v>
      </c>
      <c r="E19" s="411">
        <v>0</v>
      </c>
      <c r="F19" s="411">
        <v>0</v>
      </c>
      <c r="G19" s="411">
        <v>104500</v>
      </c>
      <c r="H19" s="411">
        <v>0</v>
      </c>
      <c r="I19" s="411">
        <v>0</v>
      </c>
      <c r="J19" s="411">
        <v>0</v>
      </c>
      <c r="K19" s="411">
        <v>0</v>
      </c>
      <c r="L19" s="411">
        <v>0</v>
      </c>
      <c r="M19" s="411">
        <v>0</v>
      </c>
      <c r="N19" s="411">
        <v>0</v>
      </c>
      <c r="O19" s="408">
        <f>SUM(C19:N19)</f>
        <v>154500</v>
      </c>
      <c r="P19" s="432"/>
      <c r="Q19" s="432"/>
      <c r="R19" s="433"/>
    </row>
    <row r="20" spans="1:18" s="409" customFormat="1" ht="21" hidden="1" customHeight="1" x14ac:dyDescent="0.45">
      <c r="A20" s="311">
        <v>14</v>
      </c>
      <c r="B20" s="308" t="s">
        <v>2554</v>
      </c>
      <c r="C20" s="411">
        <v>0</v>
      </c>
      <c r="D20" s="411">
        <v>0</v>
      </c>
      <c r="E20" s="411">
        <v>0</v>
      </c>
      <c r="F20" s="411">
        <v>0</v>
      </c>
      <c r="G20" s="411">
        <v>1221282</v>
      </c>
      <c r="H20" s="411">
        <v>0</v>
      </c>
      <c r="I20" s="411">
        <v>0</v>
      </c>
      <c r="J20" s="411">
        <v>0</v>
      </c>
      <c r="K20" s="411">
        <v>0</v>
      </c>
      <c r="L20" s="411">
        <v>0</v>
      </c>
      <c r="M20" s="411">
        <v>0</v>
      </c>
      <c r="N20" s="411">
        <v>0</v>
      </c>
      <c r="O20" s="408">
        <f>SUM(C20:N20)</f>
        <v>1221282</v>
      </c>
      <c r="P20" s="432"/>
      <c r="Q20" s="432"/>
      <c r="R20" s="433"/>
    </row>
    <row r="21" spans="1:18" s="409" customFormat="1" ht="21" hidden="1" x14ac:dyDescent="0.45">
      <c r="A21" s="311">
        <v>15</v>
      </c>
      <c r="B21" s="308" t="s">
        <v>2149</v>
      </c>
      <c r="C21" s="187">
        <v>0</v>
      </c>
      <c r="D21" s="187">
        <v>0</v>
      </c>
      <c r="E21" s="187">
        <v>0</v>
      </c>
      <c r="F21" s="187">
        <v>0</v>
      </c>
      <c r="G21" s="187">
        <v>0</v>
      </c>
      <c r="H21" s="187">
        <v>0</v>
      </c>
      <c r="I21" s="187">
        <v>0</v>
      </c>
      <c r="J21" s="187">
        <v>0</v>
      </c>
      <c r="K21" s="187">
        <v>0</v>
      </c>
      <c r="L21" s="187">
        <v>0</v>
      </c>
      <c r="M21" s="187">
        <v>0</v>
      </c>
      <c r="N21" s="187">
        <v>0</v>
      </c>
      <c r="O21" s="408">
        <f>SUM(C21:N21)</f>
        <v>0</v>
      </c>
      <c r="R21" s="433"/>
    </row>
    <row r="22" spans="1:18" s="409" customFormat="1" ht="21" hidden="1" x14ac:dyDescent="0.45">
      <c r="A22" s="311">
        <v>16</v>
      </c>
      <c r="B22" s="308" t="s">
        <v>2467</v>
      </c>
      <c r="C22" s="411">
        <v>0</v>
      </c>
      <c r="D22" s="411">
        <v>0</v>
      </c>
      <c r="E22" s="411">
        <v>0</v>
      </c>
      <c r="F22" s="411">
        <v>0</v>
      </c>
      <c r="G22" s="411">
        <v>0</v>
      </c>
      <c r="H22" s="411">
        <v>0</v>
      </c>
      <c r="I22" s="411">
        <v>0</v>
      </c>
      <c r="J22" s="411">
        <v>0</v>
      </c>
      <c r="K22" s="411">
        <v>0</v>
      </c>
      <c r="L22" s="411">
        <v>0</v>
      </c>
      <c r="M22" s="411">
        <v>0</v>
      </c>
      <c r="N22" s="411">
        <v>0</v>
      </c>
      <c r="O22" s="408">
        <f>SUM(C22:N22)</f>
        <v>0</v>
      </c>
      <c r="P22" s="432"/>
      <c r="Q22" s="432"/>
      <c r="R22" s="433"/>
    </row>
    <row r="23" spans="1:18" s="409" customFormat="1" ht="21" hidden="1" x14ac:dyDescent="0.45">
      <c r="A23" s="311">
        <v>17</v>
      </c>
      <c r="B23" s="308" t="s">
        <v>2555</v>
      </c>
      <c r="C23" s="411">
        <v>0</v>
      </c>
      <c r="D23" s="411">
        <v>0</v>
      </c>
      <c r="E23" s="411">
        <v>0</v>
      </c>
      <c r="F23" s="411">
        <v>0</v>
      </c>
      <c r="G23" s="411">
        <v>0</v>
      </c>
      <c r="H23" s="411">
        <v>0</v>
      </c>
      <c r="I23" s="411">
        <v>0</v>
      </c>
      <c r="J23" s="411">
        <v>0</v>
      </c>
      <c r="K23" s="411">
        <v>0</v>
      </c>
      <c r="L23" s="411">
        <v>0</v>
      </c>
      <c r="M23" s="411">
        <v>0</v>
      </c>
      <c r="N23" s="411">
        <v>0</v>
      </c>
      <c r="O23" s="408">
        <f>SUM(C23:N23)</f>
        <v>0</v>
      </c>
      <c r="P23" s="432"/>
      <c r="Q23" s="432"/>
      <c r="R23" s="433"/>
    </row>
    <row r="24" spans="1:18" s="414" customFormat="1" ht="21.75" thickBot="1" x14ac:dyDescent="0.5">
      <c r="A24" s="511"/>
      <c r="B24" s="512" t="s">
        <v>1919</v>
      </c>
      <c r="C24" s="412">
        <f t="shared" ref="C24:O24" si="1">SUM(C7:C23)</f>
        <v>83973</v>
      </c>
      <c r="D24" s="412">
        <f t="shared" si="1"/>
        <v>1583614</v>
      </c>
      <c r="E24" s="412">
        <f t="shared" si="1"/>
        <v>1086971.2</v>
      </c>
      <c r="F24" s="412">
        <f t="shared" si="1"/>
        <v>1322175</v>
      </c>
      <c r="G24" s="412">
        <f t="shared" si="1"/>
        <v>5622917</v>
      </c>
      <c r="H24" s="412">
        <f t="shared" si="1"/>
        <v>1830273.07</v>
      </c>
      <c r="I24" s="412">
        <f t="shared" si="1"/>
        <v>0</v>
      </c>
      <c r="J24" s="412">
        <f t="shared" si="1"/>
        <v>0</v>
      </c>
      <c r="K24" s="412">
        <f t="shared" si="1"/>
        <v>0</v>
      </c>
      <c r="L24" s="563">
        <f t="shared" si="1"/>
        <v>0</v>
      </c>
      <c r="M24" s="563">
        <f t="shared" si="1"/>
        <v>0</v>
      </c>
      <c r="N24" s="412">
        <f t="shared" si="1"/>
        <v>0</v>
      </c>
      <c r="O24" s="413">
        <f t="shared" si="1"/>
        <v>11529923.27</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D26" s="573"/>
      <c r="O26" s="533"/>
    </row>
    <row r="27" spans="1:18" x14ac:dyDescent="0.5">
      <c r="D27" s="573"/>
      <c r="O27" s="534"/>
    </row>
    <row r="28" spans="1:18" x14ac:dyDescent="0.5">
      <c r="D28" s="573"/>
    </row>
    <row r="29" spans="1:18" x14ac:dyDescent="0.5">
      <c r="D29" s="573"/>
    </row>
    <row r="30" spans="1:18" x14ac:dyDescent="0.5">
      <c r="D30" s="573"/>
    </row>
  </sheetData>
  <mergeCells count="7">
    <mergeCell ref="B1:O1"/>
    <mergeCell ref="B2:O2"/>
    <mergeCell ref="B3:O3"/>
    <mergeCell ref="A5:A6"/>
    <mergeCell ref="B5:B6"/>
    <mergeCell ref="C5:N5"/>
    <mergeCell ref="O5:O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4" zoomScaleNormal="100" workbookViewId="0">
      <selection activeCell="F30" sqref="F30"/>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9" style="325"/>
    <col min="11" max="11" width="10.5" style="325" bestFit="1" customWidth="1"/>
    <col min="12" max="12" width="33.25" style="325" bestFit="1" customWidth="1"/>
    <col min="13"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9" style="325"/>
    <col min="267" max="267" width="10.5" style="325" bestFit="1" customWidth="1"/>
    <col min="268" max="268" width="33.25" style="325" bestFit="1" customWidth="1"/>
    <col min="269"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9" style="325"/>
    <col min="523" max="523" width="10.5" style="325" bestFit="1" customWidth="1"/>
    <col min="524" max="524" width="33.25" style="325" bestFit="1" customWidth="1"/>
    <col min="525"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9" style="325"/>
    <col min="779" max="779" width="10.5" style="325" bestFit="1" customWidth="1"/>
    <col min="780" max="780" width="33.25" style="325" bestFit="1" customWidth="1"/>
    <col min="781"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9" style="325"/>
    <col min="1035" max="1035" width="10.5" style="325" bestFit="1" customWidth="1"/>
    <col min="1036" max="1036" width="33.25" style="325" bestFit="1" customWidth="1"/>
    <col min="1037"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9" style="325"/>
    <col min="1291" max="1291" width="10.5" style="325" bestFit="1" customWidth="1"/>
    <col min="1292" max="1292" width="33.25" style="325" bestFit="1" customWidth="1"/>
    <col min="1293"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9" style="325"/>
    <col min="1547" max="1547" width="10.5" style="325" bestFit="1" customWidth="1"/>
    <col min="1548" max="1548" width="33.25" style="325" bestFit="1" customWidth="1"/>
    <col min="1549"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9" style="325"/>
    <col min="1803" max="1803" width="10.5" style="325" bestFit="1" customWidth="1"/>
    <col min="1804" max="1804" width="33.25" style="325" bestFit="1" customWidth="1"/>
    <col min="1805"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9" style="325"/>
    <col min="2059" max="2059" width="10.5" style="325" bestFit="1" customWidth="1"/>
    <col min="2060" max="2060" width="33.25" style="325" bestFit="1" customWidth="1"/>
    <col min="2061"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9" style="325"/>
    <col min="2315" max="2315" width="10.5" style="325" bestFit="1" customWidth="1"/>
    <col min="2316" max="2316" width="33.25" style="325" bestFit="1" customWidth="1"/>
    <col min="2317"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9" style="325"/>
    <col min="2571" max="2571" width="10.5" style="325" bestFit="1" customWidth="1"/>
    <col min="2572" max="2572" width="33.25" style="325" bestFit="1" customWidth="1"/>
    <col min="2573"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9" style="325"/>
    <col min="2827" max="2827" width="10.5" style="325" bestFit="1" customWidth="1"/>
    <col min="2828" max="2828" width="33.25" style="325" bestFit="1" customWidth="1"/>
    <col min="2829"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9" style="325"/>
    <col min="3083" max="3083" width="10.5" style="325" bestFit="1" customWidth="1"/>
    <col min="3084" max="3084" width="33.25" style="325" bestFit="1" customWidth="1"/>
    <col min="3085"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9" style="325"/>
    <col min="3339" max="3339" width="10.5" style="325" bestFit="1" customWidth="1"/>
    <col min="3340" max="3340" width="33.25" style="325" bestFit="1" customWidth="1"/>
    <col min="3341"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9" style="325"/>
    <col min="3595" max="3595" width="10.5" style="325" bestFit="1" customWidth="1"/>
    <col min="3596" max="3596" width="33.25" style="325" bestFit="1" customWidth="1"/>
    <col min="3597"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9" style="325"/>
    <col min="3851" max="3851" width="10.5" style="325" bestFit="1" customWidth="1"/>
    <col min="3852" max="3852" width="33.25" style="325" bestFit="1" customWidth="1"/>
    <col min="3853"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9" style="325"/>
    <col min="4107" max="4107" width="10.5" style="325" bestFit="1" customWidth="1"/>
    <col min="4108" max="4108" width="33.25" style="325" bestFit="1" customWidth="1"/>
    <col min="4109"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9" style="325"/>
    <col min="4363" max="4363" width="10.5" style="325" bestFit="1" customWidth="1"/>
    <col min="4364" max="4364" width="33.25" style="325" bestFit="1" customWidth="1"/>
    <col min="4365"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9" style="325"/>
    <col min="4619" max="4619" width="10.5" style="325" bestFit="1" customWidth="1"/>
    <col min="4620" max="4620" width="33.25" style="325" bestFit="1" customWidth="1"/>
    <col min="4621"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9" style="325"/>
    <col min="4875" max="4875" width="10.5" style="325" bestFit="1" customWidth="1"/>
    <col min="4876" max="4876" width="33.25" style="325" bestFit="1" customWidth="1"/>
    <col min="4877"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9" style="325"/>
    <col min="5131" max="5131" width="10.5" style="325" bestFit="1" customWidth="1"/>
    <col min="5132" max="5132" width="33.25" style="325" bestFit="1" customWidth="1"/>
    <col min="5133"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9" style="325"/>
    <col min="5387" max="5387" width="10.5" style="325" bestFit="1" customWidth="1"/>
    <col min="5388" max="5388" width="33.25" style="325" bestFit="1" customWidth="1"/>
    <col min="5389"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9" style="325"/>
    <col min="5643" max="5643" width="10.5" style="325" bestFit="1" customWidth="1"/>
    <col min="5644" max="5644" width="33.25" style="325" bestFit="1" customWidth="1"/>
    <col min="5645"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9" style="325"/>
    <col min="5899" max="5899" width="10.5" style="325" bestFit="1" customWidth="1"/>
    <col min="5900" max="5900" width="33.25" style="325" bestFit="1" customWidth="1"/>
    <col min="5901"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9" style="325"/>
    <col min="6155" max="6155" width="10.5" style="325" bestFit="1" customWidth="1"/>
    <col min="6156" max="6156" width="33.25" style="325" bestFit="1" customWidth="1"/>
    <col min="6157"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9" style="325"/>
    <col min="6411" max="6411" width="10.5" style="325" bestFit="1" customWidth="1"/>
    <col min="6412" max="6412" width="33.25" style="325" bestFit="1" customWidth="1"/>
    <col min="6413"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9" style="325"/>
    <col min="6667" max="6667" width="10.5" style="325" bestFit="1" customWidth="1"/>
    <col min="6668" max="6668" width="33.25" style="325" bestFit="1" customWidth="1"/>
    <col min="6669"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9" style="325"/>
    <col min="6923" max="6923" width="10.5" style="325" bestFit="1" customWidth="1"/>
    <col min="6924" max="6924" width="33.25" style="325" bestFit="1" customWidth="1"/>
    <col min="6925"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9" style="325"/>
    <col min="7179" max="7179" width="10.5" style="325" bestFit="1" customWidth="1"/>
    <col min="7180" max="7180" width="33.25" style="325" bestFit="1" customWidth="1"/>
    <col min="7181"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9" style="325"/>
    <col min="7435" max="7435" width="10.5" style="325" bestFit="1" customWidth="1"/>
    <col min="7436" max="7436" width="33.25" style="325" bestFit="1" customWidth="1"/>
    <col min="7437"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9" style="325"/>
    <col min="7691" max="7691" width="10.5" style="325" bestFit="1" customWidth="1"/>
    <col min="7692" max="7692" width="33.25" style="325" bestFit="1" customWidth="1"/>
    <col min="7693"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9" style="325"/>
    <col min="7947" max="7947" width="10.5" style="325" bestFit="1" customWidth="1"/>
    <col min="7948" max="7948" width="33.25" style="325" bestFit="1" customWidth="1"/>
    <col min="7949"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9" style="325"/>
    <col min="8203" max="8203" width="10.5" style="325" bestFit="1" customWidth="1"/>
    <col min="8204" max="8204" width="33.25" style="325" bestFit="1" customWidth="1"/>
    <col min="8205"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9" style="325"/>
    <col min="8459" max="8459" width="10.5" style="325" bestFit="1" customWidth="1"/>
    <col min="8460" max="8460" width="33.25" style="325" bestFit="1" customWidth="1"/>
    <col min="8461"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9" style="325"/>
    <col min="8715" max="8715" width="10.5" style="325" bestFit="1" customWidth="1"/>
    <col min="8716" max="8716" width="33.25" style="325" bestFit="1" customWidth="1"/>
    <col min="8717"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9" style="325"/>
    <col min="8971" max="8971" width="10.5" style="325" bestFit="1" customWidth="1"/>
    <col min="8972" max="8972" width="33.25" style="325" bestFit="1" customWidth="1"/>
    <col min="8973"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9" style="325"/>
    <col min="9227" max="9227" width="10.5" style="325" bestFit="1" customWidth="1"/>
    <col min="9228" max="9228" width="33.25" style="325" bestFit="1" customWidth="1"/>
    <col min="9229"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9" style="325"/>
    <col min="9483" max="9483" width="10.5" style="325" bestFit="1" customWidth="1"/>
    <col min="9484" max="9484" width="33.25" style="325" bestFit="1" customWidth="1"/>
    <col min="9485"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9" style="325"/>
    <col min="9739" max="9739" width="10.5" style="325" bestFit="1" customWidth="1"/>
    <col min="9740" max="9740" width="33.25" style="325" bestFit="1" customWidth="1"/>
    <col min="9741"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9" style="325"/>
    <col min="9995" max="9995" width="10.5" style="325" bestFit="1" customWidth="1"/>
    <col min="9996" max="9996" width="33.25" style="325" bestFit="1" customWidth="1"/>
    <col min="9997"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9" style="325"/>
    <col min="10251" max="10251" width="10.5" style="325" bestFit="1" customWidth="1"/>
    <col min="10252" max="10252" width="33.25" style="325" bestFit="1" customWidth="1"/>
    <col min="10253"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9" style="325"/>
    <col min="10507" max="10507" width="10.5" style="325" bestFit="1" customWidth="1"/>
    <col min="10508" max="10508" width="33.25" style="325" bestFit="1" customWidth="1"/>
    <col min="10509"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9" style="325"/>
    <col min="10763" max="10763" width="10.5" style="325" bestFit="1" customWidth="1"/>
    <col min="10764" max="10764" width="33.25" style="325" bestFit="1" customWidth="1"/>
    <col min="10765"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9" style="325"/>
    <col min="11019" max="11019" width="10.5" style="325" bestFit="1" customWidth="1"/>
    <col min="11020" max="11020" width="33.25" style="325" bestFit="1" customWidth="1"/>
    <col min="11021"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9" style="325"/>
    <col min="11275" max="11275" width="10.5" style="325" bestFit="1" customWidth="1"/>
    <col min="11276" max="11276" width="33.25" style="325" bestFit="1" customWidth="1"/>
    <col min="11277"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9" style="325"/>
    <col min="11531" max="11531" width="10.5" style="325" bestFit="1" customWidth="1"/>
    <col min="11532" max="11532" width="33.25" style="325" bestFit="1" customWidth="1"/>
    <col min="11533"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9" style="325"/>
    <col min="11787" max="11787" width="10.5" style="325" bestFit="1" customWidth="1"/>
    <col min="11788" max="11788" width="33.25" style="325" bestFit="1" customWidth="1"/>
    <col min="11789"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9" style="325"/>
    <col min="12043" max="12043" width="10.5" style="325" bestFit="1" customWidth="1"/>
    <col min="12044" max="12044" width="33.25" style="325" bestFit="1" customWidth="1"/>
    <col min="12045"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9" style="325"/>
    <col min="12299" max="12299" width="10.5" style="325" bestFit="1" customWidth="1"/>
    <col min="12300" max="12300" width="33.25" style="325" bestFit="1" customWidth="1"/>
    <col min="12301"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9" style="325"/>
    <col min="12555" max="12555" width="10.5" style="325" bestFit="1" customWidth="1"/>
    <col min="12556" max="12556" width="33.25" style="325" bestFit="1" customWidth="1"/>
    <col min="12557"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9" style="325"/>
    <col min="12811" max="12811" width="10.5" style="325" bestFit="1" customWidth="1"/>
    <col min="12812" max="12812" width="33.25" style="325" bestFit="1" customWidth="1"/>
    <col min="12813"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9" style="325"/>
    <col min="13067" max="13067" width="10.5" style="325" bestFit="1" customWidth="1"/>
    <col min="13068" max="13068" width="33.25" style="325" bestFit="1" customWidth="1"/>
    <col min="13069"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9" style="325"/>
    <col min="13323" max="13323" width="10.5" style="325" bestFit="1" customWidth="1"/>
    <col min="13324" max="13324" width="33.25" style="325" bestFit="1" customWidth="1"/>
    <col min="13325"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9" style="325"/>
    <col min="13579" max="13579" width="10.5" style="325" bestFit="1" customWidth="1"/>
    <col min="13580" max="13580" width="33.25" style="325" bestFit="1" customWidth="1"/>
    <col min="13581"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9" style="325"/>
    <col min="13835" max="13835" width="10.5" style="325" bestFit="1" customWidth="1"/>
    <col min="13836" max="13836" width="33.25" style="325" bestFit="1" customWidth="1"/>
    <col min="13837"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9" style="325"/>
    <col min="14091" max="14091" width="10.5" style="325" bestFit="1" customWidth="1"/>
    <col min="14092" max="14092" width="33.25" style="325" bestFit="1" customWidth="1"/>
    <col min="14093"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9" style="325"/>
    <col min="14347" max="14347" width="10.5" style="325" bestFit="1" customWidth="1"/>
    <col min="14348" max="14348" width="33.25" style="325" bestFit="1" customWidth="1"/>
    <col min="14349"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9" style="325"/>
    <col min="14603" max="14603" width="10.5" style="325" bestFit="1" customWidth="1"/>
    <col min="14604" max="14604" width="33.25" style="325" bestFit="1" customWidth="1"/>
    <col min="14605"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9" style="325"/>
    <col min="14859" max="14859" width="10.5" style="325" bestFit="1" customWidth="1"/>
    <col min="14860" max="14860" width="33.25" style="325" bestFit="1" customWidth="1"/>
    <col min="14861"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9" style="325"/>
    <col min="15115" max="15115" width="10.5" style="325" bestFit="1" customWidth="1"/>
    <col min="15116" max="15116" width="33.25" style="325" bestFit="1" customWidth="1"/>
    <col min="15117"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9" style="325"/>
    <col min="15371" max="15371" width="10.5" style="325" bestFit="1" customWidth="1"/>
    <col min="15372" max="15372" width="33.25" style="325" bestFit="1" customWidth="1"/>
    <col min="15373"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9" style="325"/>
    <col min="15627" max="15627" width="10.5" style="325" bestFit="1" customWidth="1"/>
    <col min="15628" max="15628" width="33.25" style="325" bestFit="1" customWidth="1"/>
    <col min="15629"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9" style="325"/>
    <col min="15883" max="15883" width="10.5" style="325" bestFit="1" customWidth="1"/>
    <col min="15884" max="15884" width="33.25" style="325" bestFit="1" customWidth="1"/>
    <col min="15885"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9" style="325"/>
    <col min="16139" max="16139" width="10.5" style="325" bestFit="1" customWidth="1"/>
    <col min="16140" max="16140" width="33.25" style="325" bestFit="1" customWidth="1"/>
    <col min="16141" max="16384" width="9" style="325"/>
  </cols>
  <sheetData>
    <row r="1" spans="1:11" s="298" customFormat="1" x14ac:dyDescent="0.5">
      <c r="A1" s="660" t="s">
        <v>1913</v>
      </c>
      <c r="B1" s="660"/>
      <c r="C1" s="660"/>
      <c r="D1" s="660"/>
      <c r="E1" s="660"/>
      <c r="F1" s="660"/>
      <c r="G1" s="660"/>
      <c r="H1" s="660"/>
      <c r="I1" s="660"/>
    </row>
    <row r="2" spans="1:11" s="298" customFormat="1" x14ac:dyDescent="0.5">
      <c r="A2" s="660" t="s">
        <v>2125</v>
      </c>
      <c r="B2" s="660"/>
      <c r="C2" s="660"/>
      <c r="D2" s="660"/>
      <c r="E2" s="660"/>
      <c r="F2" s="660"/>
      <c r="G2" s="660"/>
      <c r="H2" s="660"/>
      <c r="I2" s="660"/>
    </row>
    <row r="3" spans="1:11" s="298" customFormat="1" x14ac:dyDescent="0.5">
      <c r="A3" s="660" t="s">
        <v>2262</v>
      </c>
      <c r="B3" s="660"/>
      <c r="C3" s="660"/>
      <c r="D3" s="660"/>
      <c r="E3" s="660"/>
      <c r="F3" s="660"/>
      <c r="G3" s="660"/>
      <c r="H3" s="660"/>
      <c r="I3" s="660"/>
    </row>
    <row r="4" spans="1:11" s="301" customFormat="1" ht="14.25" customHeight="1" x14ac:dyDescent="0.45">
      <c r="A4" s="299"/>
      <c r="B4" s="299"/>
      <c r="C4" s="300"/>
    </row>
    <row r="5" spans="1:11" s="303" customFormat="1" ht="42" customHeight="1" x14ac:dyDescent="0.45">
      <c r="A5" s="619" t="s">
        <v>253</v>
      </c>
      <c r="B5" s="619" t="s">
        <v>1915</v>
      </c>
      <c r="C5" s="661" t="s">
        <v>263</v>
      </c>
      <c r="D5" s="653" t="s">
        <v>2148</v>
      </c>
      <c r="E5" s="653"/>
      <c r="F5" s="653"/>
      <c r="G5" s="653"/>
      <c r="H5" s="653"/>
      <c r="I5" s="662" t="s">
        <v>256</v>
      </c>
      <c r="J5" s="302"/>
    </row>
    <row r="6" spans="1:11" s="304" customFormat="1" ht="65.25" customHeight="1" x14ac:dyDescent="0.2">
      <c r="A6" s="619"/>
      <c r="B6" s="619"/>
      <c r="C6" s="661"/>
      <c r="D6" s="629" t="s">
        <v>2239</v>
      </c>
      <c r="E6" s="630"/>
      <c r="F6" s="624" t="s">
        <v>265</v>
      </c>
      <c r="G6" s="625"/>
      <c r="H6" s="626"/>
      <c r="I6" s="663"/>
    </row>
    <row r="7" spans="1:11" s="303" customFormat="1" ht="36" customHeight="1" x14ac:dyDescent="0.45">
      <c r="A7" s="619"/>
      <c r="B7" s="619"/>
      <c r="C7" s="661"/>
      <c r="D7" s="305" t="s">
        <v>1916</v>
      </c>
      <c r="E7" s="305" t="s">
        <v>1917</v>
      </c>
      <c r="F7" s="306" t="s">
        <v>1916</v>
      </c>
      <c r="G7" s="306" t="s">
        <v>1917</v>
      </c>
      <c r="H7" s="306" t="s">
        <v>1918</v>
      </c>
      <c r="I7" s="664"/>
      <c r="J7" s="302"/>
    </row>
    <row r="8" spans="1:11" s="310" customFormat="1" ht="20.25" customHeight="1" x14ac:dyDescent="0.2">
      <c r="A8" s="307">
        <v>1</v>
      </c>
      <c r="B8" s="308" t="s">
        <v>739</v>
      </c>
      <c r="C8" s="309">
        <v>3208160</v>
      </c>
      <c r="D8" s="309">
        <v>0</v>
      </c>
      <c r="E8" s="309">
        <v>0</v>
      </c>
      <c r="F8" s="309">
        <v>22150</v>
      </c>
      <c r="G8" s="309">
        <v>22150</v>
      </c>
      <c r="H8" s="309">
        <v>0</v>
      </c>
      <c r="I8" s="309">
        <v>3163860</v>
      </c>
      <c r="K8" s="380"/>
    </row>
    <row r="9" spans="1:11" s="313" customFormat="1" ht="20.25" customHeight="1" x14ac:dyDescent="0.2">
      <c r="A9" s="311">
        <v>2</v>
      </c>
      <c r="B9" s="308" t="s">
        <v>360</v>
      </c>
      <c r="C9" s="312">
        <v>245100</v>
      </c>
      <c r="D9" s="312">
        <v>0</v>
      </c>
      <c r="E9" s="312">
        <v>0</v>
      </c>
      <c r="F9" s="312">
        <v>19608</v>
      </c>
      <c r="G9" s="312">
        <v>19608</v>
      </c>
      <c r="H9" s="312">
        <v>0</v>
      </c>
      <c r="I9" s="309">
        <v>205884</v>
      </c>
      <c r="K9" s="381"/>
    </row>
    <row r="10" spans="1:11" s="313" customFormat="1" ht="20.25" customHeight="1" x14ac:dyDescent="0.2">
      <c r="A10" s="307">
        <v>3</v>
      </c>
      <c r="B10" s="308" t="s">
        <v>2126</v>
      </c>
      <c r="C10" s="312">
        <v>171000</v>
      </c>
      <c r="D10" s="312">
        <v>0</v>
      </c>
      <c r="E10" s="312">
        <v>0</v>
      </c>
      <c r="F10" s="312">
        <v>8550</v>
      </c>
      <c r="G10" s="312">
        <v>8550</v>
      </c>
      <c r="H10" s="312">
        <v>0</v>
      </c>
      <c r="I10" s="309">
        <v>153900</v>
      </c>
      <c r="K10" s="381"/>
    </row>
    <row r="11" spans="1:11" s="317" customFormat="1" ht="20.25" customHeight="1" x14ac:dyDescent="0.2">
      <c r="A11" s="311">
        <v>4</v>
      </c>
      <c r="B11" s="315" t="s">
        <v>1693</v>
      </c>
      <c r="C11" s="316">
        <v>8037163.7300000004</v>
      </c>
      <c r="D11" s="316">
        <v>231874.92</v>
      </c>
      <c r="E11" s="316">
        <v>231874.92</v>
      </c>
      <c r="F11" s="316">
        <v>48978.15</v>
      </c>
      <c r="G11" s="316">
        <v>48978.15</v>
      </c>
      <c r="H11" s="316">
        <v>0</v>
      </c>
      <c r="I11" s="309">
        <v>7475457.5899999999</v>
      </c>
      <c r="K11" s="382"/>
    </row>
    <row r="12" spans="1:11" s="313" customFormat="1" ht="20.25" customHeight="1" x14ac:dyDescent="0.2">
      <c r="A12" s="307">
        <v>5</v>
      </c>
      <c r="B12" s="308" t="s">
        <v>512</v>
      </c>
      <c r="C12" s="312">
        <v>5051998</v>
      </c>
      <c r="D12" s="312">
        <v>4500</v>
      </c>
      <c r="E12" s="312">
        <v>4500</v>
      </c>
      <c r="F12" s="312">
        <v>180999</v>
      </c>
      <c r="G12" s="312">
        <v>180999</v>
      </c>
      <c r="H12" s="312">
        <v>0</v>
      </c>
      <c r="I12" s="309">
        <v>4681000</v>
      </c>
      <c r="K12" s="381"/>
    </row>
    <row r="13" spans="1:11" s="313" customFormat="1" ht="20.25" customHeight="1" x14ac:dyDescent="0.2">
      <c r="A13" s="311">
        <v>6</v>
      </c>
      <c r="B13" s="308" t="s">
        <v>22</v>
      </c>
      <c r="C13" s="312">
        <v>7753609</v>
      </c>
      <c r="D13" s="312">
        <v>75942.5</v>
      </c>
      <c r="E13" s="312">
        <v>75942.5</v>
      </c>
      <c r="F13" s="312">
        <v>26227.5</v>
      </c>
      <c r="G13" s="312">
        <v>26227.5</v>
      </c>
      <c r="H13" s="312">
        <v>0</v>
      </c>
      <c r="I13" s="309">
        <v>7549269</v>
      </c>
      <c r="K13" s="381"/>
    </row>
    <row r="14" spans="1:11" s="313" customFormat="1" ht="20.25" customHeight="1" x14ac:dyDescent="0.2">
      <c r="A14" s="307">
        <v>7</v>
      </c>
      <c r="B14" s="308" t="s">
        <v>1229</v>
      </c>
      <c r="C14" s="312">
        <v>1525679</v>
      </c>
      <c r="D14" s="312">
        <v>0</v>
      </c>
      <c r="E14" s="312">
        <v>0</v>
      </c>
      <c r="F14" s="312">
        <v>8407.5</v>
      </c>
      <c r="G14" s="312">
        <v>8407.5</v>
      </c>
      <c r="H14" s="312">
        <v>0</v>
      </c>
      <c r="I14" s="309">
        <v>1508864</v>
      </c>
      <c r="K14" s="381"/>
    </row>
    <row r="15" spans="1:11" s="317" customFormat="1" ht="20.25" customHeight="1" x14ac:dyDescent="0.2">
      <c r="A15" s="311">
        <v>8</v>
      </c>
      <c r="B15" s="315" t="s">
        <v>308</v>
      </c>
      <c r="C15" s="316">
        <v>662200</v>
      </c>
      <c r="D15" s="316">
        <v>0</v>
      </c>
      <c r="E15" s="316">
        <v>0</v>
      </c>
      <c r="F15" s="316">
        <v>4895</v>
      </c>
      <c r="G15" s="316">
        <v>4895</v>
      </c>
      <c r="H15" s="316">
        <v>0</v>
      </c>
      <c r="I15" s="309">
        <v>652410</v>
      </c>
      <c r="K15" s="382"/>
    </row>
    <row r="16" spans="1:11" s="313" customFormat="1" ht="20.25" customHeight="1" x14ac:dyDescent="0.2">
      <c r="A16" s="307">
        <v>9</v>
      </c>
      <c r="B16" s="308" t="s">
        <v>19</v>
      </c>
      <c r="C16" s="312">
        <v>2444000</v>
      </c>
      <c r="D16" s="312">
        <v>24200</v>
      </c>
      <c r="E16" s="312">
        <v>24200</v>
      </c>
      <c r="F16" s="312">
        <v>8550</v>
      </c>
      <c r="G16" s="312">
        <v>8550</v>
      </c>
      <c r="H16" s="312">
        <v>0</v>
      </c>
      <c r="I16" s="309">
        <v>2378500</v>
      </c>
      <c r="K16" s="381"/>
    </row>
    <row r="17" spans="1:11" s="313" customFormat="1" ht="20.25" customHeight="1" x14ac:dyDescent="0.2">
      <c r="A17" s="311">
        <v>10</v>
      </c>
      <c r="B17" s="308" t="s">
        <v>1067</v>
      </c>
      <c r="C17" s="312">
        <v>4988510</v>
      </c>
      <c r="D17" s="312">
        <v>247370</v>
      </c>
      <c r="E17" s="312">
        <v>247370</v>
      </c>
      <c r="F17" s="312">
        <v>5700</v>
      </c>
      <c r="G17" s="312">
        <v>5700</v>
      </c>
      <c r="H17" s="312">
        <v>0</v>
      </c>
      <c r="I17" s="309">
        <v>4482370</v>
      </c>
      <c r="K17" s="381"/>
    </row>
    <row r="18" spans="1:11" s="317" customFormat="1" ht="20.25" customHeight="1" x14ac:dyDescent="0.2">
      <c r="A18" s="307">
        <v>11</v>
      </c>
      <c r="B18" s="315" t="s">
        <v>2209</v>
      </c>
      <c r="C18" s="316">
        <v>1822112.8199999998</v>
      </c>
      <c r="D18" s="316">
        <v>0</v>
      </c>
      <c r="E18" s="316">
        <v>0</v>
      </c>
      <c r="F18" s="316">
        <v>51506.909999999996</v>
      </c>
      <c r="G18" s="316">
        <v>51506.909999999996</v>
      </c>
      <c r="H18" s="316">
        <v>0</v>
      </c>
      <c r="I18" s="309">
        <v>1719099</v>
      </c>
      <c r="K18" s="382"/>
    </row>
    <row r="19" spans="1:11" s="317" customFormat="1" ht="20.25" customHeight="1" x14ac:dyDescent="0.2">
      <c r="A19" s="307">
        <v>12</v>
      </c>
      <c r="B19" s="315" t="s">
        <v>2263</v>
      </c>
      <c r="C19" s="316">
        <v>7175934.3900000006</v>
      </c>
      <c r="D19" s="316">
        <v>40000</v>
      </c>
      <c r="E19" s="316">
        <v>40000</v>
      </c>
      <c r="F19" s="316">
        <v>569500</v>
      </c>
      <c r="G19" s="316">
        <v>569500</v>
      </c>
      <c r="H19" s="316">
        <v>0</v>
      </c>
      <c r="I19" s="309">
        <v>5956934.3900000006</v>
      </c>
      <c r="K19" s="382"/>
    </row>
    <row r="20" spans="1:11" s="313" customFormat="1" ht="20.25" customHeight="1" x14ac:dyDescent="0.2">
      <c r="A20" s="311">
        <v>13</v>
      </c>
      <c r="B20" s="308" t="s">
        <v>923</v>
      </c>
      <c r="C20" s="312">
        <v>850473.5</v>
      </c>
      <c r="D20" s="312">
        <v>0</v>
      </c>
      <c r="E20" s="312">
        <v>0</v>
      </c>
      <c r="F20" s="312">
        <v>8909.25</v>
      </c>
      <c r="G20" s="312">
        <v>8909.25</v>
      </c>
      <c r="H20" s="312">
        <v>0</v>
      </c>
      <c r="I20" s="309">
        <v>832655</v>
      </c>
      <c r="K20" s="381"/>
    </row>
    <row r="21" spans="1:11" s="313" customFormat="1" ht="20.25" customHeight="1" x14ac:dyDescent="0.2">
      <c r="A21" s="307">
        <v>14</v>
      </c>
      <c r="B21" s="308" t="s">
        <v>283</v>
      </c>
      <c r="C21" s="312">
        <v>672000</v>
      </c>
      <c r="D21" s="312">
        <v>0</v>
      </c>
      <c r="E21" s="312">
        <v>0</v>
      </c>
      <c r="F21" s="312">
        <v>0</v>
      </c>
      <c r="G21" s="312">
        <v>0</v>
      </c>
      <c r="H21" s="312">
        <v>0</v>
      </c>
      <c r="I21" s="309">
        <v>672000</v>
      </c>
      <c r="K21" s="381"/>
    </row>
    <row r="22" spans="1:11" s="317" customFormat="1" ht="20.25" customHeight="1" x14ac:dyDescent="0.2">
      <c r="A22" s="311">
        <v>15</v>
      </c>
      <c r="B22" s="315" t="s">
        <v>2149</v>
      </c>
      <c r="C22" s="316">
        <v>1322200</v>
      </c>
      <c r="D22" s="316">
        <v>15000</v>
      </c>
      <c r="E22" s="316">
        <v>15000</v>
      </c>
      <c r="F22" s="316">
        <v>0</v>
      </c>
      <c r="G22" s="316">
        <v>0</v>
      </c>
      <c r="H22" s="316">
        <v>0</v>
      </c>
      <c r="I22" s="309">
        <v>1292200</v>
      </c>
      <c r="K22" s="382"/>
    </row>
    <row r="23" spans="1:11" s="317" customFormat="1" ht="20.25" customHeight="1" x14ac:dyDescent="0.2">
      <c r="A23" s="307">
        <v>16</v>
      </c>
      <c r="B23" s="315" t="s">
        <v>2264</v>
      </c>
      <c r="C23" s="316">
        <v>500000</v>
      </c>
      <c r="D23" s="316">
        <v>0</v>
      </c>
      <c r="E23" s="316">
        <v>0</v>
      </c>
      <c r="F23" s="316">
        <v>21091</v>
      </c>
      <c r="G23" s="316">
        <v>21091</v>
      </c>
      <c r="H23" s="316">
        <v>0</v>
      </c>
      <c r="I23" s="309">
        <v>457818</v>
      </c>
      <c r="K23" s="382"/>
    </row>
    <row r="24" spans="1:11" s="317" customFormat="1" ht="20.25" customHeight="1" x14ac:dyDescent="0.2">
      <c r="A24" s="311">
        <v>17</v>
      </c>
      <c r="B24" s="315" t="s">
        <v>2150</v>
      </c>
      <c r="C24" s="316">
        <v>593950</v>
      </c>
      <c r="D24" s="316">
        <v>0</v>
      </c>
      <c r="E24" s="316">
        <v>0</v>
      </c>
      <c r="F24" s="316">
        <v>0</v>
      </c>
      <c r="G24" s="316">
        <v>0</v>
      </c>
      <c r="H24" s="316">
        <v>0</v>
      </c>
      <c r="I24" s="309">
        <v>593950</v>
      </c>
      <c r="K24" s="382"/>
    </row>
    <row r="25" spans="1:11" s="322" customFormat="1" ht="22.5" customHeight="1" thickBot="1" x14ac:dyDescent="0.5">
      <c r="A25" s="658" t="s">
        <v>1919</v>
      </c>
      <c r="B25" s="659"/>
      <c r="C25" s="318">
        <f t="shared" ref="C25:I25" si="0">SUM(C8:C24)</f>
        <v>47024090.440000005</v>
      </c>
      <c r="D25" s="319">
        <f t="shared" si="0"/>
        <v>638887.42000000004</v>
      </c>
      <c r="E25" s="319">
        <f t="shared" si="0"/>
        <v>638887.42000000004</v>
      </c>
      <c r="F25" s="320">
        <f t="shared" si="0"/>
        <v>985072.31</v>
      </c>
      <c r="G25" s="320">
        <f t="shared" si="0"/>
        <v>985072.31</v>
      </c>
      <c r="H25" s="320">
        <f t="shared" si="0"/>
        <v>0</v>
      </c>
      <c r="I25" s="321">
        <f t="shared" si="0"/>
        <v>43776170.980000004</v>
      </c>
      <c r="K25" s="383"/>
    </row>
    <row r="26" spans="1:11" ht="24" thickTop="1" x14ac:dyDescent="0.5"/>
    <row r="28" spans="1:11" x14ac:dyDescent="0.5">
      <c r="C28" s="333"/>
      <c r="D28" s="333"/>
      <c r="E28" s="333"/>
      <c r="F28" s="333"/>
      <c r="G28" s="333"/>
      <c r="H28" s="333"/>
      <c r="I28" s="333"/>
    </row>
    <row r="29" spans="1:11" x14ac:dyDescent="0.5">
      <c r="C29" s="373"/>
      <c r="D29" s="373"/>
      <c r="E29" s="373"/>
      <c r="F29" s="373"/>
      <c r="G29" s="373"/>
      <c r="H29" s="373"/>
      <c r="I29" s="373"/>
    </row>
  </sheetData>
  <mergeCells count="11">
    <mergeCell ref="A25:B25"/>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zoomScale="110" zoomScaleNormal="110" workbookViewId="0">
      <selection activeCell="A2" sqref="A2:O2"/>
    </sheetView>
  </sheetViews>
  <sheetFormatPr defaultRowHeight="18.75" x14ac:dyDescent="0.4"/>
  <cols>
    <col min="1" max="1" width="4.625" style="366" customWidth="1"/>
    <col min="2" max="2" width="9.125" style="367" customWidth="1"/>
    <col min="3" max="3" width="10.625" style="329" customWidth="1"/>
    <col min="4" max="4" width="16.625" style="329" customWidth="1"/>
    <col min="5" max="5" width="22.625" style="331" customWidth="1"/>
    <col min="6" max="7" width="17.125" style="332" customWidth="1"/>
    <col min="8" max="8" width="28.125" style="332" customWidth="1"/>
    <col min="9" max="9" width="12.625" style="333" customWidth="1"/>
    <col min="10" max="13" width="11.625" style="332" customWidth="1"/>
    <col min="14" max="14" width="9.625" style="332" customWidth="1"/>
    <col min="15" max="15" width="11.625" style="384" customWidth="1"/>
    <col min="16" max="256" width="9" style="384"/>
    <col min="257" max="257" width="4.625" style="384" customWidth="1"/>
    <col min="258" max="258" width="9.125" style="384" customWidth="1"/>
    <col min="259" max="259" width="10.625" style="384" customWidth="1"/>
    <col min="260" max="260" width="16.625" style="384" customWidth="1"/>
    <col min="261" max="261" width="22.625" style="384" customWidth="1"/>
    <col min="262" max="263" width="17.125" style="384" customWidth="1"/>
    <col min="264" max="264" width="28.125" style="384" customWidth="1"/>
    <col min="265" max="265" width="12.625" style="384" customWidth="1"/>
    <col min="266" max="269" width="11.625" style="384" customWidth="1"/>
    <col min="270" max="270" width="9.625" style="384" customWidth="1"/>
    <col min="271" max="271" width="11.625" style="384" customWidth="1"/>
    <col min="272" max="512" width="9" style="384"/>
    <col min="513" max="513" width="4.625" style="384" customWidth="1"/>
    <col min="514" max="514" width="9.125" style="384" customWidth="1"/>
    <col min="515" max="515" width="10.625" style="384" customWidth="1"/>
    <col min="516" max="516" width="16.625" style="384" customWidth="1"/>
    <col min="517" max="517" width="22.625" style="384" customWidth="1"/>
    <col min="518" max="519" width="17.125" style="384" customWidth="1"/>
    <col min="520" max="520" width="28.125" style="384" customWidth="1"/>
    <col min="521" max="521" width="12.625" style="384" customWidth="1"/>
    <col min="522" max="525" width="11.625" style="384" customWidth="1"/>
    <col min="526" max="526" width="9.625" style="384" customWidth="1"/>
    <col min="527" max="527" width="11.625" style="384" customWidth="1"/>
    <col min="528" max="768" width="9" style="384"/>
    <col min="769" max="769" width="4.625" style="384" customWidth="1"/>
    <col min="770" max="770" width="9.125" style="384" customWidth="1"/>
    <col min="771" max="771" width="10.625" style="384" customWidth="1"/>
    <col min="772" max="772" width="16.625" style="384" customWidth="1"/>
    <col min="773" max="773" width="22.625" style="384" customWidth="1"/>
    <col min="774" max="775" width="17.125" style="384" customWidth="1"/>
    <col min="776" max="776" width="28.125" style="384" customWidth="1"/>
    <col min="777" max="777" width="12.625" style="384" customWidth="1"/>
    <col min="778" max="781" width="11.625" style="384" customWidth="1"/>
    <col min="782" max="782" width="9.625" style="384" customWidth="1"/>
    <col min="783" max="783" width="11.625" style="384" customWidth="1"/>
    <col min="784" max="1024" width="9" style="384"/>
    <col min="1025" max="1025" width="4.625" style="384" customWidth="1"/>
    <col min="1026" max="1026" width="9.125" style="384" customWidth="1"/>
    <col min="1027" max="1027" width="10.625" style="384" customWidth="1"/>
    <col min="1028" max="1028" width="16.625" style="384" customWidth="1"/>
    <col min="1029" max="1029" width="22.625" style="384" customWidth="1"/>
    <col min="1030" max="1031" width="17.125" style="384" customWidth="1"/>
    <col min="1032" max="1032" width="28.125" style="384" customWidth="1"/>
    <col min="1033" max="1033" width="12.625" style="384" customWidth="1"/>
    <col min="1034" max="1037" width="11.625" style="384" customWidth="1"/>
    <col min="1038" max="1038" width="9.625" style="384" customWidth="1"/>
    <col min="1039" max="1039" width="11.625" style="384" customWidth="1"/>
    <col min="1040" max="1280" width="9" style="384"/>
    <col min="1281" max="1281" width="4.625" style="384" customWidth="1"/>
    <col min="1282" max="1282" width="9.125" style="384" customWidth="1"/>
    <col min="1283" max="1283" width="10.625" style="384" customWidth="1"/>
    <col min="1284" max="1284" width="16.625" style="384" customWidth="1"/>
    <col min="1285" max="1285" width="22.625" style="384" customWidth="1"/>
    <col min="1286" max="1287" width="17.125" style="384" customWidth="1"/>
    <col min="1288" max="1288" width="28.125" style="384" customWidth="1"/>
    <col min="1289" max="1289" width="12.625" style="384" customWidth="1"/>
    <col min="1290" max="1293" width="11.625" style="384" customWidth="1"/>
    <col min="1294" max="1294" width="9.625" style="384" customWidth="1"/>
    <col min="1295" max="1295" width="11.625" style="384" customWidth="1"/>
    <col min="1296" max="1536" width="9" style="384"/>
    <col min="1537" max="1537" width="4.625" style="384" customWidth="1"/>
    <col min="1538" max="1538" width="9.125" style="384" customWidth="1"/>
    <col min="1539" max="1539" width="10.625" style="384" customWidth="1"/>
    <col min="1540" max="1540" width="16.625" style="384" customWidth="1"/>
    <col min="1541" max="1541" width="22.625" style="384" customWidth="1"/>
    <col min="1542" max="1543" width="17.125" style="384" customWidth="1"/>
    <col min="1544" max="1544" width="28.125" style="384" customWidth="1"/>
    <col min="1545" max="1545" width="12.625" style="384" customWidth="1"/>
    <col min="1546" max="1549" width="11.625" style="384" customWidth="1"/>
    <col min="1550" max="1550" width="9.625" style="384" customWidth="1"/>
    <col min="1551" max="1551" width="11.625" style="384" customWidth="1"/>
    <col min="1552" max="1792" width="9" style="384"/>
    <col min="1793" max="1793" width="4.625" style="384" customWidth="1"/>
    <col min="1794" max="1794" width="9.125" style="384" customWidth="1"/>
    <col min="1795" max="1795" width="10.625" style="384" customWidth="1"/>
    <col min="1796" max="1796" width="16.625" style="384" customWidth="1"/>
    <col min="1797" max="1797" width="22.625" style="384" customWidth="1"/>
    <col min="1798" max="1799" width="17.125" style="384" customWidth="1"/>
    <col min="1800" max="1800" width="28.125" style="384" customWidth="1"/>
    <col min="1801" max="1801" width="12.625" style="384" customWidth="1"/>
    <col min="1802" max="1805" width="11.625" style="384" customWidth="1"/>
    <col min="1806" max="1806" width="9.625" style="384" customWidth="1"/>
    <col min="1807" max="1807" width="11.625" style="384" customWidth="1"/>
    <col min="1808" max="2048" width="9" style="384"/>
    <col min="2049" max="2049" width="4.625" style="384" customWidth="1"/>
    <col min="2050" max="2050" width="9.125" style="384" customWidth="1"/>
    <col min="2051" max="2051" width="10.625" style="384" customWidth="1"/>
    <col min="2052" max="2052" width="16.625" style="384" customWidth="1"/>
    <col min="2053" max="2053" width="22.625" style="384" customWidth="1"/>
    <col min="2054" max="2055" width="17.125" style="384" customWidth="1"/>
    <col min="2056" max="2056" width="28.125" style="384" customWidth="1"/>
    <col min="2057" max="2057" width="12.625" style="384" customWidth="1"/>
    <col min="2058" max="2061" width="11.625" style="384" customWidth="1"/>
    <col min="2062" max="2062" width="9.625" style="384" customWidth="1"/>
    <col min="2063" max="2063" width="11.625" style="384" customWidth="1"/>
    <col min="2064" max="2304" width="9" style="384"/>
    <col min="2305" max="2305" width="4.625" style="384" customWidth="1"/>
    <col min="2306" max="2306" width="9.125" style="384" customWidth="1"/>
    <col min="2307" max="2307" width="10.625" style="384" customWidth="1"/>
    <col min="2308" max="2308" width="16.625" style="384" customWidth="1"/>
    <col min="2309" max="2309" width="22.625" style="384" customWidth="1"/>
    <col min="2310" max="2311" width="17.125" style="384" customWidth="1"/>
    <col min="2312" max="2312" width="28.125" style="384" customWidth="1"/>
    <col min="2313" max="2313" width="12.625" style="384" customWidth="1"/>
    <col min="2314" max="2317" width="11.625" style="384" customWidth="1"/>
    <col min="2318" max="2318" width="9.625" style="384" customWidth="1"/>
    <col min="2319" max="2319" width="11.625" style="384" customWidth="1"/>
    <col min="2320" max="2560" width="9" style="384"/>
    <col min="2561" max="2561" width="4.625" style="384" customWidth="1"/>
    <col min="2562" max="2562" width="9.125" style="384" customWidth="1"/>
    <col min="2563" max="2563" width="10.625" style="384" customWidth="1"/>
    <col min="2564" max="2564" width="16.625" style="384" customWidth="1"/>
    <col min="2565" max="2565" width="22.625" style="384" customWidth="1"/>
    <col min="2566" max="2567" width="17.125" style="384" customWidth="1"/>
    <col min="2568" max="2568" width="28.125" style="384" customWidth="1"/>
    <col min="2569" max="2569" width="12.625" style="384" customWidth="1"/>
    <col min="2570" max="2573" width="11.625" style="384" customWidth="1"/>
    <col min="2574" max="2574" width="9.625" style="384" customWidth="1"/>
    <col min="2575" max="2575" width="11.625" style="384" customWidth="1"/>
    <col min="2576" max="2816" width="9" style="384"/>
    <col min="2817" max="2817" width="4.625" style="384" customWidth="1"/>
    <col min="2818" max="2818" width="9.125" style="384" customWidth="1"/>
    <col min="2819" max="2819" width="10.625" style="384" customWidth="1"/>
    <col min="2820" max="2820" width="16.625" style="384" customWidth="1"/>
    <col min="2821" max="2821" width="22.625" style="384" customWidth="1"/>
    <col min="2822" max="2823" width="17.125" style="384" customWidth="1"/>
    <col min="2824" max="2824" width="28.125" style="384" customWidth="1"/>
    <col min="2825" max="2825" width="12.625" style="384" customWidth="1"/>
    <col min="2826" max="2829" width="11.625" style="384" customWidth="1"/>
    <col min="2830" max="2830" width="9.625" style="384" customWidth="1"/>
    <col min="2831" max="2831" width="11.625" style="384" customWidth="1"/>
    <col min="2832" max="3072" width="9" style="384"/>
    <col min="3073" max="3073" width="4.625" style="384" customWidth="1"/>
    <col min="3074" max="3074" width="9.125" style="384" customWidth="1"/>
    <col min="3075" max="3075" width="10.625" style="384" customWidth="1"/>
    <col min="3076" max="3076" width="16.625" style="384" customWidth="1"/>
    <col min="3077" max="3077" width="22.625" style="384" customWidth="1"/>
    <col min="3078" max="3079" width="17.125" style="384" customWidth="1"/>
    <col min="3080" max="3080" width="28.125" style="384" customWidth="1"/>
    <col min="3081" max="3081" width="12.625" style="384" customWidth="1"/>
    <col min="3082" max="3085" width="11.625" style="384" customWidth="1"/>
    <col min="3086" max="3086" width="9.625" style="384" customWidth="1"/>
    <col min="3087" max="3087" width="11.625" style="384" customWidth="1"/>
    <col min="3088" max="3328" width="9" style="384"/>
    <col min="3329" max="3329" width="4.625" style="384" customWidth="1"/>
    <col min="3330" max="3330" width="9.125" style="384" customWidth="1"/>
    <col min="3331" max="3331" width="10.625" style="384" customWidth="1"/>
    <col min="3332" max="3332" width="16.625" style="384" customWidth="1"/>
    <col min="3333" max="3333" width="22.625" style="384" customWidth="1"/>
    <col min="3334" max="3335" width="17.125" style="384" customWidth="1"/>
    <col min="3336" max="3336" width="28.125" style="384" customWidth="1"/>
    <col min="3337" max="3337" width="12.625" style="384" customWidth="1"/>
    <col min="3338" max="3341" width="11.625" style="384" customWidth="1"/>
    <col min="3342" max="3342" width="9.625" style="384" customWidth="1"/>
    <col min="3343" max="3343" width="11.625" style="384" customWidth="1"/>
    <col min="3344" max="3584" width="9" style="384"/>
    <col min="3585" max="3585" width="4.625" style="384" customWidth="1"/>
    <col min="3586" max="3586" width="9.125" style="384" customWidth="1"/>
    <col min="3587" max="3587" width="10.625" style="384" customWidth="1"/>
    <col min="3588" max="3588" width="16.625" style="384" customWidth="1"/>
    <col min="3589" max="3589" width="22.625" style="384" customWidth="1"/>
    <col min="3590" max="3591" width="17.125" style="384" customWidth="1"/>
    <col min="3592" max="3592" width="28.125" style="384" customWidth="1"/>
    <col min="3593" max="3593" width="12.625" style="384" customWidth="1"/>
    <col min="3594" max="3597" width="11.625" style="384" customWidth="1"/>
    <col min="3598" max="3598" width="9.625" style="384" customWidth="1"/>
    <col min="3599" max="3599" width="11.625" style="384" customWidth="1"/>
    <col min="3600" max="3840" width="9" style="384"/>
    <col min="3841" max="3841" width="4.625" style="384" customWidth="1"/>
    <col min="3842" max="3842" width="9.125" style="384" customWidth="1"/>
    <col min="3843" max="3843" width="10.625" style="384" customWidth="1"/>
    <col min="3844" max="3844" width="16.625" style="384" customWidth="1"/>
    <col min="3845" max="3845" width="22.625" style="384" customWidth="1"/>
    <col min="3846" max="3847" width="17.125" style="384" customWidth="1"/>
    <col min="3848" max="3848" width="28.125" style="384" customWidth="1"/>
    <col min="3849" max="3849" width="12.625" style="384" customWidth="1"/>
    <col min="3850" max="3853" width="11.625" style="384" customWidth="1"/>
    <col min="3854" max="3854" width="9.625" style="384" customWidth="1"/>
    <col min="3855" max="3855" width="11.625" style="384" customWidth="1"/>
    <col min="3856" max="4096" width="9" style="384"/>
    <col min="4097" max="4097" width="4.625" style="384" customWidth="1"/>
    <col min="4098" max="4098" width="9.125" style="384" customWidth="1"/>
    <col min="4099" max="4099" width="10.625" style="384" customWidth="1"/>
    <col min="4100" max="4100" width="16.625" style="384" customWidth="1"/>
    <col min="4101" max="4101" width="22.625" style="384" customWidth="1"/>
    <col min="4102" max="4103" width="17.125" style="384" customWidth="1"/>
    <col min="4104" max="4104" width="28.125" style="384" customWidth="1"/>
    <col min="4105" max="4105" width="12.625" style="384" customWidth="1"/>
    <col min="4106" max="4109" width="11.625" style="384" customWidth="1"/>
    <col min="4110" max="4110" width="9.625" style="384" customWidth="1"/>
    <col min="4111" max="4111" width="11.625" style="384" customWidth="1"/>
    <col min="4112" max="4352" width="9" style="384"/>
    <col min="4353" max="4353" width="4.625" style="384" customWidth="1"/>
    <col min="4354" max="4354" width="9.125" style="384" customWidth="1"/>
    <col min="4355" max="4355" width="10.625" style="384" customWidth="1"/>
    <col min="4356" max="4356" width="16.625" style="384" customWidth="1"/>
    <col min="4357" max="4357" width="22.625" style="384" customWidth="1"/>
    <col min="4358" max="4359" width="17.125" style="384" customWidth="1"/>
    <col min="4360" max="4360" width="28.125" style="384" customWidth="1"/>
    <col min="4361" max="4361" width="12.625" style="384" customWidth="1"/>
    <col min="4362" max="4365" width="11.625" style="384" customWidth="1"/>
    <col min="4366" max="4366" width="9.625" style="384" customWidth="1"/>
    <col min="4367" max="4367" width="11.625" style="384" customWidth="1"/>
    <col min="4368" max="4608" width="9" style="384"/>
    <col min="4609" max="4609" width="4.625" style="384" customWidth="1"/>
    <col min="4610" max="4610" width="9.125" style="384" customWidth="1"/>
    <col min="4611" max="4611" width="10.625" style="384" customWidth="1"/>
    <col min="4612" max="4612" width="16.625" style="384" customWidth="1"/>
    <col min="4613" max="4613" width="22.625" style="384" customWidth="1"/>
    <col min="4614" max="4615" width="17.125" style="384" customWidth="1"/>
    <col min="4616" max="4616" width="28.125" style="384" customWidth="1"/>
    <col min="4617" max="4617" width="12.625" style="384" customWidth="1"/>
    <col min="4618" max="4621" width="11.625" style="384" customWidth="1"/>
    <col min="4622" max="4622" width="9.625" style="384" customWidth="1"/>
    <col min="4623" max="4623" width="11.625" style="384" customWidth="1"/>
    <col min="4624" max="4864" width="9" style="384"/>
    <col min="4865" max="4865" width="4.625" style="384" customWidth="1"/>
    <col min="4866" max="4866" width="9.125" style="384" customWidth="1"/>
    <col min="4867" max="4867" width="10.625" style="384" customWidth="1"/>
    <col min="4868" max="4868" width="16.625" style="384" customWidth="1"/>
    <col min="4869" max="4869" width="22.625" style="384" customWidth="1"/>
    <col min="4870" max="4871" width="17.125" style="384" customWidth="1"/>
    <col min="4872" max="4872" width="28.125" style="384" customWidth="1"/>
    <col min="4873" max="4873" width="12.625" style="384" customWidth="1"/>
    <col min="4874" max="4877" width="11.625" style="384" customWidth="1"/>
    <col min="4878" max="4878" width="9.625" style="384" customWidth="1"/>
    <col min="4879" max="4879" width="11.625" style="384" customWidth="1"/>
    <col min="4880" max="5120" width="9" style="384"/>
    <col min="5121" max="5121" width="4.625" style="384" customWidth="1"/>
    <col min="5122" max="5122" width="9.125" style="384" customWidth="1"/>
    <col min="5123" max="5123" width="10.625" style="384" customWidth="1"/>
    <col min="5124" max="5124" width="16.625" style="384" customWidth="1"/>
    <col min="5125" max="5125" width="22.625" style="384" customWidth="1"/>
    <col min="5126" max="5127" width="17.125" style="384" customWidth="1"/>
    <col min="5128" max="5128" width="28.125" style="384" customWidth="1"/>
    <col min="5129" max="5129" width="12.625" style="384" customWidth="1"/>
    <col min="5130" max="5133" width="11.625" style="384" customWidth="1"/>
    <col min="5134" max="5134" width="9.625" style="384" customWidth="1"/>
    <col min="5135" max="5135" width="11.625" style="384" customWidth="1"/>
    <col min="5136" max="5376" width="9" style="384"/>
    <col min="5377" max="5377" width="4.625" style="384" customWidth="1"/>
    <col min="5378" max="5378" width="9.125" style="384" customWidth="1"/>
    <col min="5379" max="5379" width="10.625" style="384" customWidth="1"/>
    <col min="5380" max="5380" width="16.625" style="384" customWidth="1"/>
    <col min="5381" max="5381" width="22.625" style="384" customWidth="1"/>
    <col min="5382" max="5383" width="17.125" style="384" customWidth="1"/>
    <col min="5384" max="5384" width="28.125" style="384" customWidth="1"/>
    <col min="5385" max="5385" width="12.625" style="384" customWidth="1"/>
    <col min="5386" max="5389" width="11.625" style="384" customWidth="1"/>
    <col min="5390" max="5390" width="9.625" style="384" customWidth="1"/>
    <col min="5391" max="5391" width="11.625" style="384" customWidth="1"/>
    <col min="5392" max="5632" width="9" style="384"/>
    <col min="5633" max="5633" width="4.625" style="384" customWidth="1"/>
    <col min="5634" max="5634" width="9.125" style="384" customWidth="1"/>
    <col min="5635" max="5635" width="10.625" style="384" customWidth="1"/>
    <col min="5636" max="5636" width="16.625" style="384" customWidth="1"/>
    <col min="5637" max="5637" width="22.625" style="384" customWidth="1"/>
    <col min="5638" max="5639" width="17.125" style="384" customWidth="1"/>
    <col min="5640" max="5640" width="28.125" style="384" customWidth="1"/>
    <col min="5641" max="5641" width="12.625" style="384" customWidth="1"/>
    <col min="5642" max="5645" width="11.625" style="384" customWidth="1"/>
    <col min="5646" max="5646" width="9.625" style="384" customWidth="1"/>
    <col min="5647" max="5647" width="11.625" style="384" customWidth="1"/>
    <col min="5648" max="5888" width="9" style="384"/>
    <col min="5889" max="5889" width="4.625" style="384" customWidth="1"/>
    <col min="5890" max="5890" width="9.125" style="384" customWidth="1"/>
    <col min="5891" max="5891" width="10.625" style="384" customWidth="1"/>
    <col min="5892" max="5892" width="16.625" style="384" customWidth="1"/>
    <col min="5893" max="5893" width="22.625" style="384" customWidth="1"/>
    <col min="5894" max="5895" width="17.125" style="384" customWidth="1"/>
    <col min="5896" max="5896" width="28.125" style="384" customWidth="1"/>
    <col min="5897" max="5897" width="12.625" style="384" customWidth="1"/>
    <col min="5898" max="5901" width="11.625" style="384" customWidth="1"/>
    <col min="5902" max="5902" width="9.625" style="384" customWidth="1"/>
    <col min="5903" max="5903" width="11.625" style="384" customWidth="1"/>
    <col min="5904" max="6144" width="9" style="384"/>
    <col min="6145" max="6145" width="4.625" style="384" customWidth="1"/>
    <col min="6146" max="6146" width="9.125" style="384" customWidth="1"/>
    <col min="6147" max="6147" width="10.625" style="384" customWidth="1"/>
    <col min="6148" max="6148" width="16.625" style="384" customWidth="1"/>
    <col min="6149" max="6149" width="22.625" style="384" customWidth="1"/>
    <col min="6150" max="6151" width="17.125" style="384" customWidth="1"/>
    <col min="6152" max="6152" width="28.125" style="384" customWidth="1"/>
    <col min="6153" max="6153" width="12.625" style="384" customWidth="1"/>
    <col min="6154" max="6157" width="11.625" style="384" customWidth="1"/>
    <col min="6158" max="6158" width="9.625" style="384" customWidth="1"/>
    <col min="6159" max="6159" width="11.625" style="384" customWidth="1"/>
    <col min="6160" max="6400" width="9" style="384"/>
    <col min="6401" max="6401" width="4.625" style="384" customWidth="1"/>
    <col min="6402" max="6402" width="9.125" style="384" customWidth="1"/>
    <col min="6403" max="6403" width="10.625" style="384" customWidth="1"/>
    <col min="6404" max="6404" width="16.625" style="384" customWidth="1"/>
    <col min="6405" max="6405" width="22.625" style="384" customWidth="1"/>
    <col min="6406" max="6407" width="17.125" style="384" customWidth="1"/>
    <col min="6408" max="6408" width="28.125" style="384" customWidth="1"/>
    <col min="6409" max="6409" width="12.625" style="384" customWidth="1"/>
    <col min="6410" max="6413" width="11.625" style="384" customWidth="1"/>
    <col min="6414" max="6414" width="9.625" style="384" customWidth="1"/>
    <col min="6415" max="6415" width="11.625" style="384" customWidth="1"/>
    <col min="6416" max="6656" width="9" style="384"/>
    <col min="6657" max="6657" width="4.625" style="384" customWidth="1"/>
    <col min="6658" max="6658" width="9.125" style="384" customWidth="1"/>
    <col min="6659" max="6659" width="10.625" style="384" customWidth="1"/>
    <col min="6660" max="6660" width="16.625" style="384" customWidth="1"/>
    <col min="6661" max="6661" width="22.625" style="384" customWidth="1"/>
    <col min="6662" max="6663" width="17.125" style="384" customWidth="1"/>
    <col min="6664" max="6664" width="28.125" style="384" customWidth="1"/>
    <col min="6665" max="6665" width="12.625" style="384" customWidth="1"/>
    <col min="6666" max="6669" width="11.625" style="384" customWidth="1"/>
    <col min="6670" max="6670" width="9.625" style="384" customWidth="1"/>
    <col min="6671" max="6671" width="11.625" style="384" customWidth="1"/>
    <col min="6672" max="6912" width="9" style="384"/>
    <col min="6913" max="6913" width="4.625" style="384" customWidth="1"/>
    <col min="6914" max="6914" width="9.125" style="384" customWidth="1"/>
    <col min="6915" max="6915" width="10.625" style="384" customWidth="1"/>
    <col min="6916" max="6916" width="16.625" style="384" customWidth="1"/>
    <col min="6917" max="6917" width="22.625" style="384" customWidth="1"/>
    <col min="6918" max="6919" width="17.125" style="384" customWidth="1"/>
    <col min="6920" max="6920" width="28.125" style="384" customWidth="1"/>
    <col min="6921" max="6921" width="12.625" style="384" customWidth="1"/>
    <col min="6922" max="6925" width="11.625" style="384" customWidth="1"/>
    <col min="6926" max="6926" width="9.625" style="384" customWidth="1"/>
    <col min="6927" max="6927" width="11.625" style="384" customWidth="1"/>
    <col min="6928" max="7168" width="9" style="384"/>
    <col min="7169" max="7169" width="4.625" style="384" customWidth="1"/>
    <col min="7170" max="7170" width="9.125" style="384" customWidth="1"/>
    <col min="7171" max="7171" width="10.625" style="384" customWidth="1"/>
    <col min="7172" max="7172" width="16.625" style="384" customWidth="1"/>
    <col min="7173" max="7173" width="22.625" style="384" customWidth="1"/>
    <col min="7174" max="7175" width="17.125" style="384" customWidth="1"/>
    <col min="7176" max="7176" width="28.125" style="384" customWidth="1"/>
    <col min="7177" max="7177" width="12.625" style="384" customWidth="1"/>
    <col min="7178" max="7181" width="11.625" style="384" customWidth="1"/>
    <col min="7182" max="7182" width="9.625" style="384" customWidth="1"/>
    <col min="7183" max="7183" width="11.625" style="384" customWidth="1"/>
    <col min="7184" max="7424" width="9" style="384"/>
    <col min="7425" max="7425" width="4.625" style="384" customWidth="1"/>
    <col min="7426" max="7426" width="9.125" style="384" customWidth="1"/>
    <col min="7427" max="7427" width="10.625" style="384" customWidth="1"/>
    <col min="7428" max="7428" width="16.625" style="384" customWidth="1"/>
    <col min="7429" max="7429" width="22.625" style="384" customWidth="1"/>
    <col min="7430" max="7431" width="17.125" style="384" customWidth="1"/>
    <col min="7432" max="7432" width="28.125" style="384" customWidth="1"/>
    <col min="7433" max="7433" width="12.625" style="384" customWidth="1"/>
    <col min="7434" max="7437" width="11.625" style="384" customWidth="1"/>
    <col min="7438" max="7438" width="9.625" style="384" customWidth="1"/>
    <col min="7439" max="7439" width="11.625" style="384" customWidth="1"/>
    <col min="7440" max="7680" width="9" style="384"/>
    <col min="7681" max="7681" width="4.625" style="384" customWidth="1"/>
    <col min="7682" max="7682" width="9.125" style="384" customWidth="1"/>
    <col min="7683" max="7683" width="10.625" style="384" customWidth="1"/>
    <col min="7684" max="7684" width="16.625" style="384" customWidth="1"/>
    <col min="7685" max="7685" width="22.625" style="384" customWidth="1"/>
    <col min="7686" max="7687" width="17.125" style="384" customWidth="1"/>
    <col min="7688" max="7688" width="28.125" style="384" customWidth="1"/>
    <col min="7689" max="7689" width="12.625" style="384" customWidth="1"/>
    <col min="7690" max="7693" width="11.625" style="384" customWidth="1"/>
    <col min="7694" max="7694" width="9.625" style="384" customWidth="1"/>
    <col min="7695" max="7695" width="11.625" style="384" customWidth="1"/>
    <col min="7696" max="7936" width="9" style="384"/>
    <col min="7937" max="7937" width="4.625" style="384" customWidth="1"/>
    <col min="7938" max="7938" width="9.125" style="384" customWidth="1"/>
    <col min="7939" max="7939" width="10.625" style="384" customWidth="1"/>
    <col min="7940" max="7940" width="16.625" style="384" customWidth="1"/>
    <col min="7941" max="7941" width="22.625" style="384" customWidth="1"/>
    <col min="7942" max="7943" width="17.125" style="384" customWidth="1"/>
    <col min="7944" max="7944" width="28.125" style="384" customWidth="1"/>
    <col min="7945" max="7945" width="12.625" style="384" customWidth="1"/>
    <col min="7946" max="7949" width="11.625" style="384" customWidth="1"/>
    <col min="7950" max="7950" width="9.625" style="384" customWidth="1"/>
    <col min="7951" max="7951" width="11.625" style="384" customWidth="1"/>
    <col min="7952" max="8192" width="9" style="384"/>
    <col min="8193" max="8193" width="4.625" style="384" customWidth="1"/>
    <col min="8194" max="8194" width="9.125" style="384" customWidth="1"/>
    <col min="8195" max="8195" width="10.625" style="384" customWidth="1"/>
    <col min="8196" max="8196" width="16.625" style="384" customWidth="1"/>
    <col min="8197" max="8197" width="22.625" style="384" customWidth="1"/>
    <col min="8198" max="8199" width="17.125" style="384" customWidth="1"/>
    <col min="8200" max="8200" width="28.125" style="384" customWidth="1"/>
    <col min="8201" max="8201" width="12.625" style="384" customWidth="1"/>
    <col min="8202" max="8205" width="11.625" style="384" customWidth="1"/>
    <col min="8206" max="8206" width="9.625" style="384" customWidth="1"/>
    <col min="8207" max="8207" width="11.625" style="384" customWidth="1"/>
    <col min="8208" max="8448" width="9" style="384"/>
    <col min="8449" max="8449" width="4.625" style="384" customWidth="1"/>
    <col min="8450" max="8450" width="9.125" style="384" customWidth="1"/>
    <col min="8451" max="8451" width="10.625" style="384" customWidth="1"/>
    <col min="8452" max="8452" width="16.625" style="384" customWidth="1"/>
    <col min="8453" max="8453" width="22.625" style="384" customWidth="1"/>
    <col min="8454" max="8455" width="17.125" style="384" customWidth="1"/>
    <col min="8456" max="8456" width="28.125" style="384" customWidth="1"/>
    <col min="8457" max="8457" width="12.625" style="384" customWidth="1"/>
    <col min="8458" max="8461" width="11.625" style="384" customWidth="1"/>
    <col min="8462" max="8462" width="9.625" style="384" customWidth="1"/>
    <col min="8463" max="8463" width="11.625" style="384" customWidth="1"/>
    <col min="8464" max="8704" width="9" style="384"/>
    <col min="8705" max="8705" width="4.625" style="384" customWidth="1"/>
    <col min="8706" max="8706" width="9.125" style="384" customWidth="1"/>
    <col min="8707" max="8707" width="10.625" style="384" customWidth="1"/>
    <col min="8708" max="8708" width="16.625" style="384" customWidth="1"/>
    <col min="8709" max="8709" width="22.625" style="384" customWidth="1"/>
    <col min="8710" max="8711" width="17.125" style="384" customWidth="1"/>
    <col min="8712" max="8712" width="28.125" style="384" customWidth="1"/>
    <col min="8713" max="8713" width="12.625" style="384" customWidth="1"/>
    <col min="8714" max="8717" width="11.625" style="384" customWidth="1"/>
    <col min="8718" max="8718" width="9.625" style="384" customWidth="1"/>
    <col min="8719" max="8719" width="11.625" style="384" customWidth="1"/>
    <col min="8720" max="8960" width="9" style="384"/>
    <col min="8961" max="8961" width="4.625" style="384" customWidth="1"/>
    <col min="8962" max="8962" width="9.125" style="384" customWidth="1"/>
    <col min="8963" max="8963" width="10.625" style="384" customWidth="1"/>
    <col min="8964" max="8964" width="16.625" style="384" customWidth="1"/>
    <col min="8965" max="8965" width="22.625" style="384" customWidth="1"/>
    <col min="8966" max="8967" width="17.125" style="384" customWidth="1"/>
    <col min="8968" max="8968" width="28.125" style="384" customWidth="1"/>
    <col min="8969" max="8969" width="12.625" style="384" customWidth="1"/>
    <col min="8970" max="8973" width="11.625" style="384" customWidth="1"/>
    <col min="8974" max="8974" width="9.625" style="384" customWidth="1"/>
    <col min="8975" max="8975" width="11.625" style="384" customWidth="1"/>
    <col min="8976" max="9216" width="9" style="384"/>
    <col min="9217" max="9217" width="4.625" style="384" customWidth="1"/>
    <col min="9218" max="9218" width="9.125" style="384" customWidth="1"/>
    <col min="9219" max="9219" width="10.625" style="384" customWidth="1"/>
    <col min="9220" max="9220" width="16.625" style="384" customWidth="1"/>
    <col min="9221" max="9221" width="22.625" style="384" customWidth="1"/>
    <col min="9222" max="9223" width="17.125" style="384" customWidth="1"/>
    <col min="9224" max="9224" width="28.125" style="384" customWidth="1"/>
    <col min="9225" max="9225" width="12.625" style="384" customWidth="1"/>
    <col min="9226" max="9229" width="11.625" style="384" customWidth="1"/>
    <col min="9230" max="9230" width="9.625" style="384" customWidth="1"/>
    <col min="9231" max="9231" width="11.625" style="384" customWidth="1"/>
    <col min="9232" max="9472" width="9" style="384"/>
    <col min="9473" max="9473" width="4.625" style="384" customWidth="1"/>
    <col min="9474" max="9474" width="9.125" style="384" customWidth="1"/>
    <col min="9475" max="9475" width="10.625" style="384" customWidth="1"/>
    <col min="9476" max="9476" width="16.625" style="384" customWidth="1"/>
    <col min="9477" max="9477" width="22.625" style="384" customWidth="1"/>
    <col min="9478" max="9479" width="17.125" style="384" customWidth="1"/>
    <col min="9480" max="9480" width="28.125" style="384" customWidth="1"/>
    <col min="9481" max="9481" width="12.625" style="384" customWidth="1"/>
    <col min="9482" max="9485" width="11.625" style="384" customWidth="1"/>
    <col min="9486" max="9486" width="9.625" style="384" customWidth="1"/>
    <col min="9487" max="9487" width="11.625" style="384" customWidth="1"/>
    <col min="9488" max="9728" width="9" style="384"/>
    <col min="9729" max="9729" width="4.625" style="384" customWidth="1"/>
    <col min="9730" max="9730" width="9.125" style="384" customWidth="1"/>
    <col min="9731" max="9731" width="10.625" style="384" customWidth="1"/>
    <col min="9732" max="9732" width="16.625" style="384" customWidth="1"/>
    <col min="9733" max="9733" width="22.625" style="384" customWidth="1"/>
    <col min="9734" max="9735" width="17.125" style="384" customWidth="1"/>
    <col min="9736" max="9736" width="28.125" style="384" customWidth="1"/>
    <col min="9737" max="9737" width="12.625" style="384" customWidth="1"/>
    <col min="9738" max="9741" width="11.625" style="384" customWidth="1"/>
    <col min="9742" max="9742" width="9.625" style="384" customWidth="1"/>
    <col min="9743" max="9743" width="11.625" style="384" customWidth="1"/>
    <col min="9744" max="9984" width="9" style="384"/>
    <col min="9985" max="9985" width="4.625" style="384" customWidth="1"/>
    <col min="9986" max="9986" width="9.125" style="384" customWidth="1"/>
    <col min="9987" max="9987" width="10.625" style="384" customWidth="1"/>
    <col min="9988" max="9988" width="16.625" style="384" customWidth="1"/>
    <col min="9989" max="9989" width="22.625" style="384" customWidth="1"/>
    <col min="9990" max="9991" width="17.125" style="384" customWidth="1"/>
    <col min="9992" max="9992" width="28.125" style="384" customWidth="1"/>
    <col min="9993" max="9993" width="12.625" style="384" customWidth="1"/>
    <col min="9994" max="9997" width="11.625" style="384" customWidth="1"/>
    <col min="9998" max="9998" width="9.625" style="384" customWidth="1"/>
    <col min="9999" max="9999" width="11.625" style="384" customWidth="1"/>
    <col min="10000" max="10240" width="9" style="384"/>
    <col min="10241" max="10241" width="4.625" style="384" customWidth="1"/>
    <col min="10242" max="10242" width="9.125" style="384" customWidth="1"/>
    <col min="10243" max="10243" width="10.625" style="384" customWidth="1"/>
    <col min="10244" max="10244" width="16.625" style="384" customWidth="1"/>
    <col min="10245" max="10245" width="22.625" style="384" customWidth="1"/>
    <col min="10246" max="10247" width="17.125" style="384" customWidth="1"/>
    <col min="10248" max="10248" width="28.125" style="384" customWidth="1"/>
    <col min="10249" max="10249" width="12.625" style="384" customWidth="1"/>
    <col min="10250" max="10253" width="11.625" style="384" customWidth="1"/>
    <col min="10254" max="10254" width="9.625" style="384" customWidth="1"/>
    <col min="10255" max="10255" width="11.625" style="384" customWidth="1"/>
    <col min="10256" max="10496" width="9" style="384"/>
    <col min="10497" max="10497" width="4.625" style="384" customWidth="1"/>
    <col min="10498" max="10498" width="9.125" style="384" customWidth="1"/>
    <col min="10499" max="10499" width="10.625" style="384" customWidth="1"/>
    <col min="10500" max="10500" width="16.625" style="384" customWidth="1"/>
    <col min="10501" max="10501" width="22.625" style="384" customWidth="1"/>
    <col min="10502" max="10503" width="17.125" style="384" customWidth="1"/>
    <col min="10504" max="10504" width="28.125" style="384" customWidth="1"/>
    <col min="10505" max="10505" width="12.625" style="384" customWidth="1"/>
    <col min="10506" max="10509" width="11.625" style="384" customWidth="1"/>
    <col min="10510" max="10510" width="9.625" style="384" customWidth="1"/>
    <col min="10511" max="10511" width="11.625" style="384" customWidth="1"/>
    <col min="10512" max="10752" width="9" style="384"/>
    <col min="10753" max="10753" width="4.625" style="384" customWidth="1"/>
    <col min="10754" max="10754" width="9.125" style="384" customWidth="1"/>
    <col min="10755" max="10755" width="10.625" style="384" customWidth="1"/>
    <col min="10756" max="10756" width="16.625" style="384" customWidth="1"/>
    <col min="10757" max="10757" width="22.625" style="384" customWidth="1"/>
    <col min="10758" max="10759" width="17.125" style="384" customWidth="1"/>
    <col min="10760" max="10760" width="28.125" style="384" customWidth="1"/>
    <col min="10761" max="10761" width="12.625" style="384" customWidth="1"/>
    <col min="10762" max="10765" width="11.625" style="384" customWidth="1"/>
    <col min="10766" max="10766" width="9.625" style="384" customWidth="1"/>
    <col min="10767" max="10767" width="11.625" style="384" customWidth="1"/>
    <col min="10768" max="11008" width="9" style="384"/>
    <col min="11009" max="11009" width="4.625" style="384" customWidth="1"/>
    <col min="11010" max="11010" width="9.125" style="384" customWidth="1"/>
    <col min="11011" max="11011" width="10.625" style="384" customWidth="1"/>
    <col min="11012" max="11012" width="16.625" style="384" customWidth="1"/>
    <col min="11013" max="11013" width="22.625" style="384" customWidth="1"/>
    <col min="11014" max="11015" width="17.125" style="384" customWidth="1"/>
    <col min="11016" max="11016" width="28.125" style="384" customWidth="1"/>
    <col min="11017" max="11017" width="12.625" style="384" customWidth="1"/>
    <col min="11018" max="11021" width="11.625" style="384" customWidth="1"/>
    <col min="11022" max="11022" width="9.625" style="384" customWidth="1"/>
    <col min="11023" max="11023" width="11.625" style="384" customWidth="1"/>
    <col min="11024" max="11264" width="9" style="384"/>
    <col min="11265" max="11265" width="4.625" style="384" customWidth="1"/>
    <col min="11266" max="11266" width="9.125" style="384" customWidth="1"/>
    <col min="11267" max="11267" width="10.625" style="384" customWidth="1"/>
    <col min="11268" max="11268" width="16.625" style="384" customWidth="1"/>
    <col min="11269" max="11269" width="22.625" style="384" customWidth="1"/>
    <col min="11270" max="11271" width="17.125" style="384" customWidth="1"/>
    <col min="11272" max="11272" width="28.125" style="384" customWidth="1"/>
    <col min="11273" max="11273" width="12.625" style="384" customWidth="1"/>
    <col min="11274" max="11277" width="11.625" style="384" customWidth="1"/>
    <col min="11278" max="11278" width="9.625" style="384" customWidth="1"/>
    <col min="11279" max="11279" width="11.625" style="384" customWidth="1"/>
    <col min="11280" max="11520" width="9" style="384"/>
    <col min="11521" max="11521" width="4.625" style="384" customWidth="1"/>
    <col min="11522" max="11522" width="9.125" style="384" customWidth="1"/>
    <col min="11523" max="11523" width="10.625" style="384" customWidth="1"/>
    <col min="11524" max="11524" width="16.625" style="384" customWidth="1"/>
    <col min="11525" max="11525" width="22.625" style="384" customWidth="1"/>
    <col min="11526" max="11527" width="17.125" style="384" customWidth="1"/>
    <col min="11528" max="11528" width="28.125" style="384" customWidth="1"/>
    <col min="11529" max="11529" width="12.625" style="384" customWidth="1"/>
    <col min="11530" max="11533" width="11.625" style="384" customWidth="1"/>
    <col min="11534" max="11534" width="9.625" style="384" customWidth="1"/>
    <col min="11535" max="11535" width="11.625" style="384" customWidth="1"/>
    <col min="11536" max="11776" width="9" style="384"/>
    <col min="11777" max="11777" width="4.625" style="384" customWidth="1"/>
    <col min="11778" max="11778" width="9.125" style="384" customWidth="1"/>
    <col min="11779" max="11779" width="10.625" style="384" customWidth="1"/>
    <col min="11780" max="11780" width="16.625" style="384" customWidth="1"/>
    <col min="11781" max="11781" width="22.625" style="384" customWidth="1"/>
    <col min="11782" max="11783" width="17.125" style="384" customWidth="1"/>
    <col min="11784" max="11784" width="28.125" style="384" customWidth="1"/>
    <col min="11785" max="11785" width="12.625" style="384" customWidth="1"/>
    <col min="11786" max="11789" width="11.625" style="384" customWidth="1"/>
    <col min="11790" max="11790" width="9.625" style="384" customWidth="1"/>
    <col min="11791" max="11791" width="11.625" style="384" customWidth="1"/>
    <col min="11792" max="12032" width="9" style="384"/>
    <col min="12033" max="12033" width="4.625" style="384" customWidth="1"/>
    <col min="12034" max="12034" width="9.125" style="384" customWidth="1"/>
    <col min="12035" max="12035" width="10.625" style="384" customWidth="1"/>
    <col min="12036" max="12036" width="16.625" style="384" customWidth="1"/>
    <col min="12037" max="12037" width="22.625" style="384" customWidth="1"/>
    <col min="12038" max="12039" width="17.125" style="384" customWidth="1"/>
    <col min="12040" max="12040" width="28.125" style="384" customWidth="1"/>
    <col min="12041" max="12041" width="12.625" style="384" customWidth="1"/>
    <col min="12042" max="12045" width="11.625" style="384" customWidth="1"/>
    <col min="12046" max="12046" width="9.625" style="384" customWidth="1"/>
    <col min="12047" max="12047" width="11.625" style="384" customWidth="1"/>
    <col min="12048" max="12288" width="9" style="384"/>
    <col min="12289" max="12289" width="4.625" style="384" customWidth="1"/>
    <col min="12290" max="12290" width="9.125" style="384" customWidth="1"/>
    <col min="12291" max="12291" width="10.625" style="384" customWidth="1"/>
    <col min="12292" max="12292" width="16.625" style="384" customWidth="1"/>
    <col min="12293" max="12293" width="22.625" style="384" customWidth="1"/>
    <col min="12294" max="12295" width="17.125" style="384" customWidth="1"/>
    <col min="12296" max="12296" width="28.125" style="384" customWidth="1"/>
    <col min="12297" max="12297" width="12.625" style="384" customWidth="1"/>
    <col min="12298" max="12301" width="11.625" style="384" customWidth="1"/>
    <col min="12302" max="12302" width="9.625" style="384" customWidth="1"/>
    <col min="12303" max="12303" width="11.625" style="384" customWidth="1"/>
    <col min="12304" max="12544" width="9" style="384"/>
    <col min="12545" max="12545" width="4.625" style="384" customWidth="1"/>
    <col min="12546" max="12546" width="9.125" style="384" customWidth="1"/>
    <col min="12547" max="12547" width="10.625" style="384" customWidth="1"/>
    <col min="12548" max="12548" width="16.625" style="384" customWidth="1"/>
    <col min="12549" max="12549" width="22.625" style="384" customWidth="1"/>
    <col min="12550" max="12551" width="17.125" style="384" customWidth="1"/>
    <col min="12552" max="12552" width="28.125" style="384" customWidth="1"/>
    <col min="12553" max="12553" width="12.625" style="384" customWidth="1"/>
    <col min="12554" max="12557" width="11.625" style="384" customWidth="1"/>
    <col min="12558" max="12558" width="9.625" style="384" customWidth="1"/>
    <col min="12559" max="12559" width="11.625" style="384" customWidth="1"/>
    <col min="12560" max="12800" width="9" style="384"/>
    <col min="12801" max="12801" width="4.625" style="384" customWidth="1"/>
    <col min="12802" max="12802" width="9.125" style="384" customWidth="1"/>
    <col min="12803" max="12803" width="10.625" style="384" customWidth="1"/>
    <col min="12804" max="12804" width="16.625" style="384" customWidth="1"/>
    <col min="12805" max="12805" width="22.625" style="384" customWidth="1"/>
    <col min="12806" max="12807" width="17.125" style="384" customWidth="1"/>
    <col min="12808" max="12808" width="28.125" style="384" customWidth="1"/>
    <col min="12809" max="12809" width="12.625" style="384" customWidth="1"/>
    <col min="12810" max="12813" width="11.625" style="384" customWidth="1"/>
    <col min="12814" max="12814" width="9.625" style="384" customWidth="1"/>
    <col min="12815" max="12815" width="11.625" style="384" customWidth="1"/>
    <col min="12816" max="13056" width="9" style="384"/>
    <col min="13057" max="13057" width="4.625" style="384" customWidth="1"/>
    <col min="13058" max="13058" width="9.125" style="384" customWidth="1"/>
    <col min="13059" max="13059" width="10.625" style="384" customWidth="1"/>
    <col min="13060" max="13060" width="16.625" style="384" customWidth="1"/>
    <col min="13061" max="13061" width="22.625" style="384" customWidth="1"/>
    <col min="13062" max="13063" width="17.125" style="384" customWidth="1"/>
    <col min="13064" max="13064" width="28.125" style="384" customWidth="1"/>
    <col min="13065" max="13065" width="12.625" style="384" customWidth="1"/>
    <col min="13066" max="13069" width="11.625" style="384" customWidth="1"/>
    <col min="13070" max="13070" width="9.625" style="384" customWidth="1"/>
    <col min="13071" max="13071" width="11.625" style="384" customWidth="1"/>
    <col min="13072" max="13312" width="9" style="384"/>
    <col min="13313" max="13313" width="4.625" style="384" customWidth="1"/>
    <col min="13314" max="13314" width="9.125" style="384" customWidth="1"/>
    <col min="13315" max="13315" width="10.625" style="384" customWidth="1"/>
    <col min="13316" max="13316" width="16.625" style="384" customWidth="1"/>
    <col min="13317" max="13317" width="22.625" style="384" customWidth="1"/>
    <col min="13318" max="13319" width="17.125" style="384" customWidth="1"/>
    <col min="13320" max="13320" width="28.125" style="384" customWidth="1"/>
    <col min="13321" max="13321" width="12.625" style="384" customWidth="1"/>
    <col min="13322" max="13325" width="11.625" style="384" customWidth="1"/>
    <col min="13326" max="13326" width="9.625" style="384" customWidth="1"/>
    <col min="13327" max="13327" width="11.625" style="384" customWidth="1"/>
    <col min="13328" max="13568" width="9" style="384"/>
    <col min="13569" max="13569" width="4.625" style="384" customWidth="1"/>
    <col min="13570" max="13570" width="9.125" style="384" customWidth="1"/>
    <col min="13571" max="13571" width="10.625" style="384" customWidth="1"/>
    <col min="13572" max="13572" width="16.625" style="384" customWidth="1"/>
    <col min="13573" max="13573" width="22.625" style="384" customWidth="1"/>
    <col min="13574" max="13575" width="17.125" style="384" customWidth="1"/>
    <col min="13576" max="13576" width="28.125" style="384" customWidth="1"/>
    <col min="13577" max="13577" width="12.625" style="384" customWidth="1"/>
    <col min="13578" max="13581" width="11.625" style="384" customWidth="1"/>
    <col min="13582" max="13582" width="9.625" style="384" customWidth="1"/>
    <col min="13583" max="13583" width="11.625" style="384" customWidth="1"/>
    <col min="13584" max="13824" width="9" style="384"/>
    <col min="13825" max="13825" width="4.625" style="384" customWidth="1"/>
    <col min="13826" max="13826" width="9.125" style="384" customWidth="1"/>
    <col min="13827" max="13827" width="10.625" style="384" customWidth="1"/>
    <col min="13828" max="13828" width="16.625" style="384" customWidth="1"/>
    <col min="13829" max="13829" width="22.625" style="384" customWidth="1"/>
    <col min="13830" max="13831" width="17.125" style="384" customWidth="1"/>
    <col min="13832" max="13832" width="28.125" style="384" customWidth="1"/>
    <col min="13833" max="13833" width="12.625" style="384" customWidth="1"/>
    <col min="13834" max="13837" width="11.625" style="384" customWidth="1"/>
    <col min="13838" max="13838" width="9.625" style="384" customWidth="1"/>
    <col min="13839" max="13839" width="11.625" style="384" customWidth="1"/>
    <col min="13840" max="14080" width="9" style="384"/>
    <col min="14081" max="14081" width="4.625" style="384" customWidth="1"/>
    <col min="14082" max="14082" width="9.125" style="384" customWidth="1"/>
    <col min="14083" max="14083" width="10.625" style="384" customWidth="1"/>
    <col min="14084" max="14084" width="16.625" style="384" customWidth="1"/>
    <col min="14085" max="14085" width="22.625" style="384" customWidth="1"/>
    <col min="14086" max="14087" width="17.125" style="384" customWidth="1"/>
    <col min="14088" max="14088" width="28.125" style="384" customWidth="1"/>
    <col min="14089" max="14089" width="12.625" style="384" customWidth="1"/>
    <col min="14090" max="14093" width="11.625" style="384" customWidth="1"/>
    <col min="14094" max="14094" width="9.625" style="384" customWidth="1"/>
    <col min="14095" max="14095" width="11.625" style="384" customWidth="1"/>
    <col min="14096" max="14336" width="9" style="384"/>
    <col min="14337" max="14337" width="4.625" style="384" customWidth="1"/>
    <col min="14338" max="14338" width="9.125" style="384" customWidth="1"/>
    <col min="14339" max="14339" width="10.625" style="384" customWidth="1"/>
    <col min="14340" max="14340" width="16.625" style="384" customWidth="1"/>
    <col min="14341" max="14341" width="22.625" style="384" customWidth="1"/>
    <col min="14342" max="14343" width="17.125" style="384" customWidth="1"/>
    <col min="14344" max="14344" width="28.125" style="384" customWidth="1"/>
    <col min="14345" max="14345" width="12.625" style="384" customWidth="1"/>
    <col min="14346" max="14349" width="11.625" style="384" customWidth="1"/>
    <col min="14350" max="14350" width="9.625" style="384" customWidth="1"/>
    <col min="14351" max="14351" width="11.625" style="384" customWidth="1"/>
    <col min="14352" max="14592" width="9" style="384"/>
    <col min="14593" max="14593" width="4.625" style="384" customWidth="1"/>
    <col min="14594" max="14594" width="9.125" style="384" customWidth="1"/>
    <col min="14595" max="14595" width="10.625" style="384" customWidth="1"/>
    <col min="14596" max="14596" width="16.625" style="384" customWidth="1"/>
    <col min="14597" max="14597" width="22.625" style="384" customWidth="1"/>
    <col min="14598" max="14599" width="17.125" style="384" customWidth="1"/>
    <col min="14600" max="14600" width="28.125" style="384" customWidth="1"/>
    <col min="14601" max="14601" width="12.625" style="384" customWidth="1"/>
    <col min="14602" max="14605" width="11.625" style="384" customWidth="1"/>
    <col min="14606" max="14606" width="9.625" style="384" customWidth="1"/>
    <col min="14607" max="14607" width="11.625" style="384" customWidth="1"/>
    <col min="14608" max="14848" width="9" style="384"/>
    <col min="14849" max="14849" width="4.625" style="384" customWidth="1"/>
    <col min="14850" max="14850" width="9.125" style="384" customWidth="1"/>
    <col min="14851" max="14851" width="10.625" style="384" customWidth="1"/>
    <col min="14852" max="14852" width="16.625" style="384" customWidth="1"/>
    <col min="14853" max="14853" width="22.625" style="384" customWidth="1"/>
    <col min="14854" max="14855" width="17.125" style="384" customWidth="1"/>
    <col min="14856" max="14856" width="28.125" style="384" customWidth="1"/>
    <col min="14857" max="14857" width="12.625" style="384" customWidth="1"/>
    <col min="14858" max="14861" width="11.625" style="384" customWidth="1"/>
    <col min="14862" max="14862" width="9.625" style="384" customWidth="1"/>
    <col min="14863" max="14863" width="11.625" style="384" customWidth="1"/>
    <col min="14864" max="15104" width="9" style="384"/>
    <col min="15105" max="15105" width="4.625" style="384" customWidth="1"/>
    <col min="15106" max="15106" width="9.125" style="384" customWidth="1"/>
    <col min="15107" max="15107" width="10.625" style="384" customWidth="1"/>
    <col min="15108" max="15108" width="16.625" style="384" customWidth="1"/>
    <col min="15109" max="15109" width="22.625" style="384" customWidth="1"/>
    <col min="15110" max="15111" width="17.125" style="384" customWidth="1"/>
    <col min="15112" max="15112" width="28.125" style="384" customWidth="1"/>
    <col min="15113" max="15113" width="12.625" style="384" customWidth="1"/>
    <col min="15114" max="15117" width="11.625" style="384" customWidth="1"/>
    <col min="15118" max="15118" width="9.625" style="384" customWidth="1"/>
    <col min="15119" max="15119" width="11.625" style="384" customWidth="1"/>
    <col min="15120" max="15360" width="9" style="384"/>
    <col min="15361" max="15361" width="4.625" style="384" customWidth="1"/>
    <col min="15362" max="15362" width="9.125" style="384" customWidth="1"/>
    <col min="15363" max="15363" width="10.625" style="384" customWidth="1"/>
    <col min="15364" max="15364" width="16.625" style="384" customWidth="1"/>
    <col min="15365" max="15365" width="22.625" style="384" customWidth="1"/>
    <col min="15366" max="15367" width="17.125" style="384" customWidth="1"/>
    <col min="15368" max="15368" width="28.125" style="384" customWidth="1"/>
    <col min="15369" max="15369" width="12.625" style="384" customWidth="1"/>
    <col min="15370" max="15373" width="11.625" style="384" customWidth="1"/>
    <col min="15374" max="15374" width="9.625" style="384" customWidth="1"/>
    <col min="15375" max="15375" width="11.625" style="384" customWidth="1"/>
    <col min="15376" max="15616" width="9" style="384"/>
    <col min="15617" max="15617" width="4.625" style="384" customWidth="1"/>
    <col min="15618" max="15618" width="9.125" style="384" customWidth="1"/>
    <col min="15619" max="15619" width="10.625" style="384" customWidth="1"/>
    <col min="15620" max="15620" width="16.625" style="384" customWidth="1"/>
    <col min="15621" max="15621" width="22.625" style="384" customWidth="1"/>
    <col min="15622" max="15623" width="17.125" style="384" customWidth="1"/>
    <col min="15624" max="15624" width="28.125" style="384" customWidth="1"/>
    <col min="15625" max="15625" width="12.625" style="384" customWidth="1"/>
    <col min="15626" max="15629" width="11.625" style="384" customWidth="1"/>
    <col min="15630" max="15630" width="9.625" style="384" customWidth="1"/>
    <col min="15631" max="15631" width="11.625" style="384" customWidth="1"/>
    <col min="15632" max="15872" width="9" style="384"/>
    <col min="15873" max="15873" width="4.625" style="384" customWidth="1"/>
    <col min="15874" max="15874" width="9.125" style="384" customWidth="1"/>
    <col min="15875" max="15875" width="10.625" style="384" customWidth="1"/>
    <col min="15876" max="15876" width="16.625" style="384" customWidth="1"/>
    <col min="15877" max="15877" width="22.625" style="384" customWidth="1"/>
    <col min="15878" max="15879" width="17.125" style="384" customWidth="1"/>
    <col min="15880" max="15880" width="28.125" style="384" customWidth="1"/>
    <col min="15881" max="15881" width="12.625" style="384" customWidth="1"/>
    <col min="15882" max="15885" width="11.625" style="384" customWidth="1"/>
    <col min="15886" max="15886" width="9.625" style="384" customWidth="1"/>
    <col min="15887" max="15887" width="11.625" style="384" customWidth="1"/>
    <col min="15888" max="16128" width="9" style="384"/>
    <col min="16129" max="16129" width="4.625" style="384" customWidth="1"/>
    <col min="16130" max="16130" width="9.125" style="384" customWidth="1"/>
    <col min="16131" max="16131" width="10.625" style="384" customWidth="1"/>
    <col min="16132" max="16132" width="16.625" style="384" customWidth="1"/>
    <col min="16133" max="16133" width="22.625" style="384" customWidth="1"/>
    <col min="16134" max="16135" width="17.125" style="384" customWidth="1"/>
    <col min="16136" max="16136" width="28.125" style="384" customWidth="1"/>
    <col min="16137" max="16137" width="12.625" style="384" customWidth="1"/>
    <col min="16138" max="16141" width="11.625" style="384" customWidth="1"/>
    <col min="16142" max="16142" width="9.625" style="384" customWidth="1"/>
    <col min="16143" max="16143" width="11.625" style="384" customWidth="1"/>
    <col min="16144" max="16384" width="9" style="384"/>
  </cols>
  <sheetData>
    <row r="1" spans="1:16" ht="21" x14ac:dyDescent="0.45">
      <c r="A1" s="672" t="s">
        <v>1913</v>
      </c>
      <c r="B1" s="672"/>
      <c r="C1" s="672"/>
      <c r="D1" s="672"/>
      <c r="E1" s="672"/>
      <c r="F1" s="672"/>
      <c r="G1" s="672"/>
      <c r="H1" s="672"/>
      <c r="I1" s="672"/>
      <c r="J1" s="672"/>
      <c r="K1" s="672"/>
      <c r="L1" s="672"/>
      <c r="M1" s="672"/>
      <c r="N1" s="672"/>
      <c r="O1" s="672"/>
    </row>
    <row r="2" spans="1:16" ht="21" x14ac:dyDescent="0.45">
      <c r="A2" s="672" t="s">
        <v>1920</v>
      </c>
      <c r="B2" s="672"/>
      <c r="C2" s="672"/>
      <c r="D2" s="672"/>
      <c r="E2" s="672"/>
      <c r="F2" s="672"/>
      <c r="G2" s="672"/>
      <c r="H2" s="672"/>
      <c r="I2" s="672"/>
      <c r="J2" s="672"/>
      <c r="K2" s="672"/>
      <c r="L2" s="672"/>
      <c r="M2" s="672"/>
      <c r="N2" s="672"/>
      <c r="O2" s="672"/>
    </row>
    <row r="3" spans="1:16" ht="21" x14ac:dyDescent="0.45">
      <c r="A3" s="672" t="s">
        <v>2265</v>
      </c>
      <c r="B3" s="672"/>
      <c r="C3" s="672"/>
      <c r="D3" s="672"/>
      <c r="E3" s="672"/>
      <c r="F3" s="672"/>
      <c r="G3" s="672"/>
      <c r="H3" s="672"/>
      <c r="I3" s="672"/>
      <c r="J3" s="672"/>
      <c r="K3" s="672"/>
      <c r="L3" s="672"/>
      <c r="M3" s="672"/>
      <c r="N3" s="672"/>
      <c r="O3" s="672"/>
    </row>
    <row r="5" spans="1:16" s="386" customFormat="1" ht="38.25" customHeight="1" x14ac:dyDescent="0.4">
      <c r="A5" s="680" t="s">
        <v>253</v>
      </c>
      <c r="B5" s="680" t="s">
        <v>254</v>
      </c>
      <c r="C5" s="680"/>
      <c r="D5" s="680"/>
      <c r="E5" s="680"/>
      <c r="F5" s="680"/>
      <c r="G5" s="680"/>
      <c r="H5" s="680"/>
      <c r="I5" s="680"/>
      <c r="J5" s="675" t="s">
        <v>2148</v>
      </c>
      <c r="K5" s="675"/>
      <c r="L5" s="675"/>
      <c r="M5" s="675"/>
      <c r="N5" s="675"/>
      <c r="O5" s="684" t="s">
        <v>256</v>
      </c>
      <c r="P5" s="385"/>
    </row>
    <row r="6" spans="1:16" s="387" customFormat="1" ht="56.25" customHeight="1" x14ac:dyDescent="0.2">
      <c r="A6" s="680"/>
      <c r="B6" s="685" t="s">
        <v>257</v>
      </c>
      <c r="C6" s="673" t="s">
        <v>2</v>
      </c>
      <c r="D6" s="673" t="s">
        <v>258</v>
      </c>
      <c r="E6" s="673" t="s">
        <v>259</v>
      </c>
      <c r="F6" s="673" t="s">
        <v>260</v>
      </c>
      <c r="G6" s="673" t="s">
        <v>261</v>
      </c>
      <c r="H6" s="673" t="s">
        <v>262</v>
      </c>
      <c r="I6" s="668" t="s">
        <v>263</v>
      </c>
      <c r="J6" s="670" t="s">
        <v>2239</v>
      </c>
      <c r="K6" s="671"/>
      <c r="L6" s="682" t="s">
        <v>265</v>
      </c>
      <c r="M6" s="682"/>
      <c r="N6" s="682"/>
      <c r="O6" s="684"/>
    </row>
    <row r="7" spans="1:16" s="386" customFormat="1" ht="59.25" customHeight="1" x14ac:dyDescent="0.4">
      <c r="A7" s="680"/>
      <c r="B7" s="685"/>
      <c r="C7" s="673"/>
      <c r="D7" s="673"/>
      <c r="E7" s="673"/>
      <c r="F7" s="673"/>
      <c r="G7" s="673"/>
      <c r="H7" s="673"/>
      <c r="I7" s="668"/>
      <c r="J7" s="337" t="s">
        <v>266</v>
      </c>
      <c r="K7" s="337" t="s">
        <v>267</v>
      </c>
      <c r="L7" s="338" t="s">
        <v>266</v>
      </c>
      <c r="M7" s="338" t="s">
        <v>267</v>
      </c>
      <c r="N7" s="338" t="s">
        <v>1921</v>
      </c>
      <c r="O7" s="684"/>
      <c r="P7" s="385"/>
    </row>
    <row r="8" spans="1:16" s="395" customFormat="1" x14ac:dyDescent="0.2">
      <c r="A8" s="388" t="s">
        <v>739</v>
      </c>
      <c r="B8" s="389"/>
      <c r="C8" s="390"/>
      <c r="D8" s="390"/>
      <c r="E8" s="391"/>
      <c r="F8" s="391"/>
      <c r="G8" s="391"/>
      <c r="H8" s="392"/>
      <c r="I8" s="393">
        <f>SUM(I9:I13)</f>
        <v>3208160</v>
      </c>
      <c r="J8" s="393">
        <f t="shared" ref="J8:O8" si="0">SUM(J9:J13)</f>
        <v>0</v>
      </c>
      <c r="K8" s="393">
        <f t="shared" si="0"/>
        <v>0</v>
      </c>
      <c r="L8" s="393">
        <f t="shared" si="0"/>
        <v>22150</v>
      </c>
      <c r="M8" s="393">
        <f t="shared" si="0"/>
        <v>22150</v>
      </c>
      <c r="N8" s="393">
        <f t="shared" si="0"/>
        <v>0</v>
      </c>
      <c r="O8" s="394">
        <f t="shared" si="0"/>
        <v>3163860</v>
      </c>
    </row>
    <row r="9" spans="1:16" s="353" customFormat="1" ht="112.5" x14ac:dyDescent="0.2">
      <c r="A9" s="346">
        <v>1</v>
      </c>
      <c r="B9" s="347" t="s">
        <v>2019</v>
      </c>
      <c r="C9" s="396" t="s">
        <v>2020</v>
      </c>
      <c r="D9" s="396" t="s">
        <v>2021</v>
      </c>
      <c r="E9" s="350" t="s">
        <v>1185</v>
      </c>
      <c r="F9" s="350" t="s">
        <v>1186</v>
      </c>
      <c r="G9" s="350" t="s">
        <v>1763</v>
      </c>
      <c r="H9" s="351" t="s">
        <v>2266</v>
      </c>
      <c r="I9" s="397">
        <v>295000</v>
      </c>
      <c r="J9" s="397">
        <v>0</v>
      </c>
      <c r="K9" s="397">
        <v>0</v>
      </c>
      <c r="L9" s="397">
        <v>0</v>
      </c>
      <c r="M9" s="397">
        <v>0</v>
      </c>
      <c r="N9" s="398" t="s">
        <v>1786</v>
      </c>
      <c r="O9" s="352">
        <f>+I9-(J9+K9+L9+M9)</f>
        <v>295000</v>
      </c>
    </row>
    <row r="10" spans="1:16" s="353" customFormat="1" ht="131.25" x14ac:dyDescent="0.2">
      <c r="A10" s="346">
        <v>2</v>
      </c>
      <c r="B10" s="347" t="s">
        <v>2151</v>
      </c>
      <c r="C10" s="396" t="s">
        <v>2152</v>
      </c>
      <c r="D10" s="396" t="s">
        <v>2153</v>
      </c>
      <c r="E10" s="350" t="s">
        <v>1185</v>
      </c>
      <c r="F10" s="350" t="s">
        <v>1186</v>
      </c>
      <c r="G10" s="350" t="s">
        <v>2154</v>
      </c>
      <c r="H10" s="351" t="s">
        <v>2267</v>
      </c>
      <c r="I10" s="397">
        <v>1707100</v>
      </c>
      <c r="J10" s="397">
        <v>0</v>
      </c>
      <c r="K10" s="397">
        <v>0</v>
      </c>
      <c r="L10" s="397">
        <v>0</v>
      </c>
      <c r="M10" s="397">
        <v>0</v>
      </c>
      <c r="N10" s="398" t="s">
        <v>1786</v>
      </c>
      <c r="O10" s="352">
        <f>+I10-(J10+K10+L10+M10)</f>
        <v>1707100</v>
      </c>
    </row>
    <row r="11" spans="1:16" s="353" customFormat="1" ht="131.25" x14ac:dyDescent="0.2">
      <c r="A11" s="346">
        <v>3</v>
      </c>
      <c r="B11" s="347" t="s">
        <v>2151</v>
      </c>
      <c r="C11" s="396" t="s">
        <v>2152</v>
      </c>
      <c r="D11" s="396" t="s">
        <v>2153</v>
      </c>
      <c r="E11" s="350" t="s">
        <v>2155</v>
      </c>
      <c r="F11" s="350" t="s">
        <v>1186</v>
      </c>
      <c r="G11" s="350" t="s">
        <v>2154</v>
      </c>
      <c r="H11" s="351" t="s">
        <v>2268</v>
      </c>
      <c r="I11" s="397">
        <v>687060</v>
      </c>
      <c r="J11" s="397">
        <v>0</v>
      </c>
      <c r="K11" s="397">
        <v>0</v>
      </c>
      <c r="L11" s="397">
        <v>0</v>
      </c>
      <c r="M11" s="397">
        <v>0</v>
      </c>
      <c r="N11" s="398" t="s">
        <v>1786</v>
      </c>
      <c r="O11" s="352">
        <f>+I11-(J11+K11+L11+M11)</f>
        <v>687060</v>
      </c>
    </row>
    <row r="12" spans="1:16" s="353" customFormat="1" ht="93.75" x14ac:dyDescent="0.2">
      <c r="A12" s="346">
        <v>4</v>
      </c>
      <c r="B12" s="347" t="s">
        <v>2240</v>
      </c>
      <c r="C12" s="396" t="s">
        <v>2241</v>
      </c>
      <c r="D12" s="396" t="s">
        <v>2242</v>
      </c>
      <c r="E12" s="350" t="s">
        <v>1185</v>
      </c>
      <c r="F12" s="350" t="s">
        <v>1186</v>
      </c>
      <c r="G12" s="350" t="s">
        <v>1121</v>
      </c>
      <c r="H12" s="351" t="s">
        <v>2269</v>
      </c>
      <c r="I12" s="397">
        <f>44300+455700</f>
        <v>500000</v>
      </c>
      <c r="J12" s="397">
        <v>0</v>
      </c>
      <c r="K12" s="397">
        <v>0</v>
      </c>
      <c r="L12" s="397">
        <v>22150</v>
      </c>
      <c r="M12" s="397">
        <v>22150</v>
      </c>
      <c r="N12" s="398"/>
      <c r="O12" s="352">
        <f>+I12-(J12+K12+L12+M12)</f>
        <v>455700</v>
      </c>
    </row>
    <row r="13" spans="1:16" s="353" customFormat="1" ht="112.5" x14ac:dyDescent="0.2">
      <c r="A13" s="346">
        <v>5</v>
      </c>
      <c r="B13" s="347" t="s">
        <v>2270</v>
      </c>
      <c r="C13" s="396" t="s">
        <v>2271</v>
      </c>
      <c r="D13" s="396" t="s">
        <v>2272</v>
      </c>
      <c r="E13" s="350" t="s">
        <v>1173</v>
      </c>
      <c r="F13" s="350" t="s">
        <v>739</v>
      </c>
      <c r="G13" s="350" t="s">
        <v>1162</v>
      </c>
      <c r="H13" s="351" t="s">
        <v>2273</v>
      </c>
      <c r="I13" s="397">
        <v>19000</v>
      </c>
      <c r="J13" s="397">
        <v>0</v>
      </c>
      <c r="K13" s="397"/>
      <c r="L13" s="397"/>
      <c r="M13" s="397"/>
      <c r="N13" s="398" t="s">
        <v>1631</v>
      </c>
      <c r="O13" s="352">
        <f>+I13-(J13+K13+L13+M13)</f>
        <v>19000</v>
      </c>
    </row>
    <row r="14" spans="1:16" s="395" customFormat="1" x14ac:dyDescent="0.2">
      <c r="A14" s="388" t="s">
        <v>360</v>
      </c>
      <c r="B14" s="389"/>
      <c r="C14" s="390"/>
      <c r="D14" s="390"/>
      <c r="E14" s="391"/>
      <c r="F14" s="391"/>
      <c r="G14" s="391"/>
      <c r="H14" s="392"/>
      <c r="I14" s="393">
        <f>SUM(I15)</f>
        <v>245100</v>
      </c>
      <c r="J14" s="393">
        <f t="shared" ref="J14:O14" si="1">SUM(J15)</f>
        <v>0</v>
      </c>
      <c r="K14" s="393">
        <f t="shared" si="1"/>
        <v>0</v>
      </c>
      <c r="L14" s="393">
        <f t="shared" si="1"/>
        <v>19608</v>
      </c>
      <c r="M14" s="393">
        <f t="shared" si="1"/>
        <v>19608</v>
      </c>
      <c r="N14" s="393">
        <f t="shared" si="1"/>
        <v>0</v>
      </c>
      <c r="O14" s="394">
        <f t="shared" si="1"/>
        <v>205884</v>
      </c>
    </row>
    <row r="15" spans="1:16" s="353" customFormat="1" ht="150" x14ac:dyDescent="0.2">
      <c r="A15" s="346">
        <v>1</v>
      </c>
      <c r="B15" s="347" t="s">
        <v>2270</v>
      </c>
      <c r="C15" s="396" t="s">
        <v>2274</v>
      </c>
      <c r="D15" s="396" t="s">
        <v>2275</v>
      </c>
      <c r="E15" s="350" t="s">
        <v>2276</v>
      </c>
      <c r="F15" s="350" t="s">
        <v>360</v>
      </c>
      <c r="G15" s="350" t="s">
        <v>336</v>
      </c>
      <c r="H15" s="351" t="s">
        <v>2277</v>
      </c>
      <c r="I15" s="397">
        <v>245100</v>
      </c>
      <c r="J15" s="397">
        <v>0</v>
      </c>
      <c r="K15" s="397">
        <v>0</v>
      </c>
      <c r="L15" s="397">
        <v>19608</v>
      </c>
      <c r="M15" s="397">
        <v>19608</v>
      </c>
      <c r="N15" s="398">
        <v>0</v>
      </c>
      <c r="O15" s="352">
        <f>+I15-(SUM(J15:N15))</f>
        <v>205884</v>
      </c>
    </row>
    <row r="16" spans="1:16" s="395" customFormat="1" x14ac:dyDescent="0.2">
      <c r="A16" s="388" t="s">
        <v>2126</v>
      </c>
      <c r="B16" s="389"/>
      <c r="C16" s="390"/>
      <c r="D16" s="390"/>
      <c r="E16" s="391"/>
      <c r="F16" s="391"/>
      <c r="G16" s="391"/>
      <c r="H16" s="392"/>
      <c r="I16" s="393">
        <f>SUM(I17)</f>
        <v>171000</v>
      </c>
      <c r="J16" s="393">
        <f t="shared" ref="J16:O16" si="2">SUM(J17)</f>
        <v>0</v>
      </c>
      <c r="K16" s="393">
        <f t="shared" si="2"/>
        <v>0</v>
      </c>
      <c r="L16" s="393">
        <f t="shared" si="2"/>
        <v>8550</v>
      </c>
      <c r="M16" s="393">
        <f t="shared" si="2"/>
        <v>8550</v>
      </c>
      <c r="N16" s="393">
        <f t="shared" si="2"/>
        <v>0</v>
      </c>
      <c r="O16" s="394">
        <f t="shared" si="2"/>
        <v>153900</v>
      </c>
    </row>
    <row r="17" spans="1:15" s="353" customFormat="1" ht="168.75" x14ac:dyDescent="0.2">
      <c r="A17" s="346">
        <v>1</v>
      </c>
      <c r="B17" s="347" t="s">
        <v>2127</v>
      </c>
      <c r="C17" s="396" t="s">
        <v>2145</v>
      </c>
      <c r="D17" s="396" t="s">
        <v>2146</v>
      </c>
      <c r="E17" s="350" t="s">
        <v>2147</v>
      </c>
      <c r="F17" s="350" t="s">
        <v>2126</v>
      </c>
      <c r="G17" s="350" t="s">
        <v>1198</v>
      </c>
      <c r="H17" s="351" t="s">
        <v>2278</v>
      </c>
      <c r="I17" s="397">
        <v>171000</v>
      </c>
      <c r="J17" s="397">
        <v>0</v>
      </c>
      <c r="K17" s="397">
        <v>0</v>
      </c>
      <c r="L17" s="397">
        <v>8550</v>
      </c>
      <c r="M17" s="397">
        <v>8550</v>
      </c>
      <c r="N17" s="398"/>
      <c r="O17" s="352">
        <f>+I17-(J17+K17+L17+M17)</f>
        <v>153900</v>
      </c>
    </row>
    <row r="18" spans="1:15" s="395" customFormat="1" x14ac:dyDescent="0.2">
      <c r="A18" s="388" t="s">
        <v>1693</v>
      </c>
      <c r="B18" s="389"/>
      <c r="C18" s="390"/>
      <c r="D18" s="390"/>
      <c r="E18" s="391"/>
      <c r="F18" s="391"/>
      <c r="G18" s="391"/>
      <c r="H18" s="392"/>
      <c r="I18" s="393">
        <f>SUM(I19:I39)</f>
        <v>8037163.7300000004</v>
      </c>
      <c r="J18" s="393">
        <f t="shared" ref="J18:O18" si="3">SUM(J19:J39)</f>
        <v>231874.92</v>
      </c>
      <c r="K18" s="393">
        <f t="shared" si="3"/>
        <v>231874.92</v>
      </c>
      <c r="L18" s="393">
        <f t="shared" si="3"/>
        <v>48978.15</v>
      </c>
      <c r="M18" s="393">
        <f t="shared" si="3"/>
        <v>48978.15</v>
      </c>
      <c r="N18" s="393">
        <f t="shared" si="3"/>
        <v>0</v>
      </c>
      <c r="O18" s="394">
        <f t="shared" si="3"/>
        <v>7475457.5899999999</v>
      </c>
    </row>
    <row r="19" spans="1:15" s="353" customFormat="1" ht="112.5" x14ac:dyDescent="0.2">
      <c r="A19" s="346">
        <v>1</v>
      </c>
      <c r="B19" s="347" t="s">
        <v>2022</v>
      </c>
      <c r="C19" s="396" t="s">
        <v>2023</v>
      </c>
      <c r="D19" s="396" t="s">
        <v>2024</v>
      </c>
      <c r="E19" s="350" t="s">
        <v>2025</v>
      </c>
      <c r="F19" s="350" t="s">
        <v>161</v>
      </c>
      <c r="G19" s="350" t="s">
        <v>915</v>
      </c>
      <c r="H19" s="351" t="s">
        <v>2279</v>
      </c>
      <c r="I19" s="397">
        <v>30000</v>
      </c>
      <c r="J19" s="397">
        <v>2400</v>
      </c>
      <c r="K19" s="397">
        <v>2400</v>
      </c>
      <c r="L19" s="397">
        <v>0</v>
      </c>
      <c r="M19" s="397">
        <v>0</v>
      </c>
      <c r="N19" s="397"/>
      <c r="O19" s="352">
        <f>+I19-(J19+K19+L19+M19+N19)</f>
        <v>25200</v>
      </c>
    </row>
    <row r="20" spans="1:15" s="353" customFormat="1" ht="187.5" x14ac:dyDescent="0.2">
      <c r="A20" s="346">
        <v>2</v>
      </c>
      <c r="B20" s="347" t="s">
        <v>2026</v>
      </c>
      <c r="C20" s="396" t="s">
        <v>2027</v>
      </c>
      <c r="D20" s="396" t="s">
        <v>2028</v>
      </c>
      <c r="E20" s="350" t="s">
        <v>1789</v>
      </c>
      <c r="F20" s="350" t="s">
        <v>161</v>
      </c>
      <c r="G20" s="350" t="s">
        <v>930</v>
      </c>
      <c r="H20" s="351" t="s">
        <v>2280</v>
      </c>
      <c r="I20" s="397">
        <v>94526.5</v>
      </c>
      <c r="J20" s="397">
        <v>0</v>
      </c>
      <c r="K20" s="397">
        <v>0</v>
      </c>
      <c r="L20" s="397">
        <v>0</v>
      </c>
      <c r="M20" s="397">
        <v>0</v>
      </c>
      <c r="N20" s="398" t="s">
        <v>1786</v>
      </c>
      <c r="O20" s="352">
        <f>+I20-(J20+K20+L20+M20)</f>
        <v>94526.5</v>
      </c>
    </row>
    <row r="21" spans="1:15" s="353" customFormat="1" ht="168.75" x14ac:dyDescent="0.2">
      <c r="A21" s="346">
        <v>3</v>
      </c>
      <c r="B21" s="347" t="s">
        <v>2026</v>
      </c>
      <c r="C21" s="396" t="s">
        <v>2027</v>
      </c>
      <c r="D21" s="396" t="s">
        <v>2028</v>
      </c>
      <c r="E21" s="350" t="s">
        <v>1790</v>
      </c>
      <c r="F21" s="350" t="s">
        <v>161</v>
      </c>
      <c r="G21" s="350" t="s">
        <v>930</v>
      </c>
      <c r="H21" s="351" t="s">
        <v>2281</v>
      </c>
      <c r="I21" s="397">
        <v>416753</v>
      </c>
      <c r="J21" s="397">
        <v>0</v>
      </c>
      <c r="K21" s="397">
        <v>0</v>
      </c>
      <c r="L21" s="397">
        <v>0</v>
      </c>
      <c r="M21" s="397">
        <v>0</v>
      </c>
      <c r="N21" s="398" t="s">
        <v>1786</v>
      </c>
      <c r="O21" s="352">
        <f>+I21-(J21+K21+L21+M21)</f>
        <v>416753</v>
      </c>
    </row>
    <row r="22" spans="1:15" s="353" customFormat="1" ht="150" x14ac:dyDescent="0.2">
      <c r="A22" s="346">
        <v>4</v>
      </c>
      <c r="B22" s="347" t="s">
        <v>2029</v>
      </c>
      <c r="C22" s="396" t="s">
        <v>2030</v>
      </c>
      <c r="D22" s="396" t="s">
        <v>2031</v>
      </c>
      <c r="E22" s="350" t="s">
        <v>914</v>
      </c>
      <c r="F22" s="350" t="s">
        <v>161</v>
      </c>
      <c r="G22" s="350" t="s">
        <v>1752</v>
      </c>
      <c r="H22" s="351" t="s">
        <v>2282</v>
      </c>
      <c r="I22" s="397">
        <v>800000</v>
      </c>
      <c r="J22" s="397">
        <v>64000</v>
      </c>
      <c r="K22" s="397">
        <v>64000</v>
      </c>
      <c r="L22" s="397">
        <v>0</v>
      </c>
      <c r="M22" s="397">
        <v>0</v>
      </c>
      <c r="N22" s="398"/>
      <c r="O22" s="352">
        <f>+I22-(J22+K22+L22+M22+N22)</f>
        <v>672000</v>
      </c>
    </row>
    <row r="23" spans="1:15" s="353" customFormat="1" ht="187.5" x14ac:dyDescent="0.2">
      <c r="A23" s="346">
        <v>5</v>
      </c>
      <c r="B23" s="347" t="s">
        <v>2032</v>
      </c>
      <c r="C23" s="396" t="s">
        <v>2033</v>
      </c>
      <c r="D23" s="396" t="s">
        <v>2034</v>
      </c>
      <c r="E23" s="350" t="s">
        <v>1841</v>
      </c>
      <c r="F23" s="350" t="s">
        <v>161</v>
      </c>
      <c r="G23" s="350" t="s">
        <v>1758</v>
      </c>
      <c r="H23" s="351" t="s">
        <v>2283</v>
      </c>
      <c r="I23" s="397">
        <f>781527.95+312611.18+41133.05+16453.22</f>
        <v>1151725.3999999999</v>
      </c>
      <c r="J23" s="397">
        <v>92138.03</v>
      </c>
      <c r="K23" s="397">
        <v>92138.03</v>
      </c>
      <c r="L23" s="397">
        <v>0</v>
      </c>
      <c r="M23" s="397">
        <v>0</v>
      </c>
      <c r="N23" s="398"/>
      <c r="O23" s="352">
        <f t="shared" ref="O23:O30" si="4">+I23-(J23+K23+L23+M23)</f>
        <v>967449.33999999985</v>
      </c>
    </row>
    <row r="24" spans="1:15" s="353" customFormat="1" ht="168.75" x14ac:dyDescent="0.2">
      <c r="A24" s="346">
        <v>6</v>
      </c>
      <c r="B24" s="347" t="s">
        <v>2035</v>
      </c>
      <c r="C24" s="396" t="s">
        <v>2036</v>
      </c>
      <c r="D24" s="396" t="s">
        <v>2037</v>
      </c>
      <c r="E24" s="350" t="s">
        <v>1841</v>
      </c>
      <c r="F24" s="350" t="s">
        <v>161</v>
      </c>
      <c r="G24" s="350" t="s">
        <v>1758</v>
      </c>
      <c r="H24" s="351" t="s">
        <v>2284</v>
      </c>
      <c r="I24" s="397">
        <v>24679.83</v>
      </c>
      <c r="J24" s="397">
        <v>1974.39</v>
      </c>
      <c r="K24" s="397">
        <v>1974.39</v>
      </c>
      <c r="L24" s="397">
        <v>0</v>
      </c>
      <c r="M24" s="397">
        <v>0</v>
      </c>
      <c r="N24" s="398"/>
      <c r="O24" s="352">
        <f t="shared" si="4"/>
        <v>20731.050000000003</v>
      </c>
    </row>
    <row r="25" spans="1:15" s="353" customFormat="1" ht="131.25" x14ac:dyDescent="0.2">
      <c r="A25" s="346">
        <v>7</v>
      </c>
      <c r="B25" s="347" t="s">
        <v>2019</v>
      </c>
      <c r="C25" s="396" t="s">
        <v>2020</v>
      </c>
      <c r="D25" s="396" t="s">
        <v>2021</v>
      </c>
      <c r="E25" s="350" t="s">
        <v>1810</v>
      </c>
      <c r="F25" s="350" t="s">
        <v>161</v>
      </c>
      <c r="G25" s="350" t="s">
        <v>1763</v>
      </c>
      <c r="H25" s="351" t="s">
        <v>2285</v>
      </c>
      <c r="I25" s="397">
        <v>492990</v>
      </c>
      <c r="J25" s="397">
        <v>0</v>
      </c>
      <c r="K25" s="397">
        <v>0</v>
      </c>
      <c r="L25" s="397">
        <v>0</v>
      </c>
      <c r="M25" s="397">
        <v>0</v>
      </c>
      <c r="N25" s="398" t="s">
        <v>1786</v>
      </c>
      <c r="O25" s="352">
        <f t="shared" si="4"/>
        <v>492990</v>
      </c>
    </row>
    <row r="26" spans="1:15" s="353" customFormat="1" ht="131.25" x14ac:dyDescent="0.2">
      <c r="A26" s="346">
        <v>8</v>
      </c>
      <c r="B26" s="347" t="s">
        <v>2038</v>
      </c>
      <c r="C26" s="396" t="s">
        <v>2039</v>
      </c>
      <c r="D26" s="396" t="s">
        <v>2040</v>
      </c>
      <c r="E26" s="350" t="s">
        <v>1018</v>
      </c>
      <c r="F26" s="350" t="s">
        <v>161</v>
      </c>
      <c r="G26" s="350" t="s">
        <v>2041</v>
      </c>
      <c r="H26" s="351" t="s">
        <v>2286</v>
      </c>
      <c r="I26" s="397">
        <v>13932</v>
      </c>
      <c r="J26" s="397">
        <v>0</v>
      </c>
      <c r="K26" s="397">
        <v>0</v>
      </c>
      <c r="L26" s="397">
        <v>0</v>
      </c>
      <c r="M26" s="397">
        <v>0</v>
      </c>
      <c r="N26" s="398" t="s">
        <v>1631</v>
      </c>
      <c r="O26" s="352">
        <f t="shared" si="4"/>
        <v>13932</v>
      </c>
    </row>
    <row r="27" spans="1:15" s="353" customFormat="1" ht="112.5" x14ac:dyDescent="0.2">
      <c r="A27" s="346">
        <v>9</v>
      </c>
      <c r="B27" s="347" t="s">
        <v>2042</v>
      </c>
      <c r="C27" s="396" t="s">
        <v>2043</v>
      </c>
      <c r="D27" s="396" t="s">
        <v>2044</v>
      </c>
      <c r="E27" s="350" t="s">
        <v>957</v>
      </c>
      <c r="F27" s="350" t="s">
        <v>1693</v>
      </c>
      <c r="G27" s="350" t="s">
        <v>1198</v>
      </c>
      <c r="H27" s="351" t="s">
        <v>2287</v>
      </c>
      <c r="I27" s="397">
        <v>279391</v>
      </c>
      <c r="J27" s="397">
        <v>0</v>
      </c>
      <c r="K27" s="397">
        <v>0</v>
      </c>
      <c r="L27" s="397">
        <v>12465.65</v>
      </c>
      <c r="M27" s="397">
        <v>12465.65</v>
      </c>
      <c r="N27" s="398"/>
      <c r="O27" s="352">
        <f t="shared" si="4"/>
        <v>254459.7</v>
      </c>
    </row>
    <row r="28" spans="1:15" s="353" customFormat="1" ht="112.5" x14ac:dyDescent="0.2">
      <c r="A28" s="346">
        <v>10</v>
      </c>
      <c r="B28" s="347" t="s">
        <v>2127</v>
      </c>
      <c r="C28" s="396" t="s">
        <v>2128</v>
      </c>
      <c r="D28" s="396" t="s">
        <v>2129</v>
      </c>
      <c r="E28" s="350" t="s">
        <v>2165</v>
      </c>
      <c r="F28" s="350" t="s">
        <v>161</v>
      </c>
      <c r="G28" s="350" t="s">
        <v>1198</v>
      </c>
      <c r="H28" s="351" t="s">
        <v>2288</v>
      </c>
      <c r="I28" s="397">
        <v>128250</v>
      </c>
      <c r="J28" s="397">
        <v>0</v>
      </c>
      <c r="K28" s="397">
        <v>0</v>
      </c>
      <c r="L28" s="397">
        <v>6412.5</v>
      </c>
      <c r="M28" s="397">
        <v>6412.5</v>
      </c>
      <c r="N28" s="398"/>
      <c r="O28" s="352">
        <f t="shared" si="4"/>
        <v>115425</v>
      </c>
    </row>
    <row r="29" spans="1:15" s="353" customFormat="1" ht="131.25" x14ac:dyDescent="0.2">
      <c r="A29" s="346">
        <v>11</v>
      </c>
      <c r="B29" s="347" t="s">
        <v>2156</v>
      </c>
      <c r="C29" s="396" t="s">
        <v>2157</v>
      </c>
      <c r="D29" s="396" t="s">
        <v>2158</v>
      </c>
      <c r="E29" s="350" t="s">
        <v>1300</v>
      </c>
      <c r="F29" s="350" t="s">
        <v>161</v>
      </c>
      <c r="G29" s="350" t="s">
        <v>1198</v>
      </c>
      <c r="H29" s="351" t="s">
        <v>2289</v>
      </c>
      <c r="I29" s="397">
        <f>45000+455000</f>
        <v>500000</v>
      </c>
      <c r="J29" s="397">
        <v>0</v>
      </c>
      <c r="K29" s="397">
        <v>0</v>
      </c>
      <c r="L29" s="397">
        <v>22500</v>
      </c>
      <c r="M29" s="397">
        <v>22500</v>
      </c>
      <c r="N29" s="398"/>
      <c r="O29" s="352">
        <f t="shared" si="4"/>
        <v>455000</v>
      </c>
    </row>
    <row r="30" spans="1:15" s="353" customFormat="1" ht="93.75" x14ac:dyDescent="0.2">
      <c r="A30" s="346">
        <v>12</v>
      </c>
      <c r="B30" s="347" t="s">
        <v>2159</v>
      </c>
      <c r="C30" s="396" t="s">
        <v>2160</v>
      </c>
      <c r="D30" s="396" t="s">
        <v>2161</v>
      </c>
      <c r="E30" s="350" t="s">
        <v>1810</v>
      </c>
      <c r="F30" s="350" t="s">
        <v>161</v>
      </c>
      <c r="G30" s="350" t="s">
        <v>1198</v>
      </c>
      <c r="H30" s="351" t="s">
        <v>2290</v>
      </c>
      <c r="I30" s="397">
        <v>152000</v>
      </c>
      <c r="J30" s="397">
        <v>0</v>
      </c>
      <c r="K30" s="397">
        <v>0</v>
      </c>
      <c r="L30" s="397">
        <v>7600</v>
      </c>
      <c r="M30" s="397">
        <v>7600</v>
      </c>
      <c r="N30" s="398"/>
      <c r="O30" s="352">
        <f t="shared" si="4"/>
        <v>136800</v>
      </c>
    </row>
    <row r="31" spans="1:15" s="353" customFormat="1" ht="150" x14ac:dyDescent="0.2">
      <c r="A31" s="346">
        <v>13</v>
      </c>
      <c r="B31" s="347" t="s">
        <v>2162</v>
      </c>
      <c r="C31" s="396" t="s">
        <v>2163</v>
      </c>
      <c r="D31" s="396" t="s">
        <v>2164</v>
      </c>
      <c r="E31" s="350" t="s">
        <v>914</v>
      </c>
      <c r="F31" s="350" t="s">
        <v>161</v>
      </c>
      <c r="G31" s="350" t="s">
        <v>1752</v>
      </c>
      <c r="H31" s="351" t="s">
        <v>2291</v>
      </c>
      <c r="I31" s="397">
        <v>800000</v>
      </c>
      <c r="J31" s="397">
        <v>64000</v>
      </c>
      <c r="K31" s="397">
        <v>64000</v>
      </c>
      <c r="L31" s="397">
        <v>0</v>
      </c>
      <c r="M31" s="397">
        <v>0</v>
      </c>
      <c r="N31" s="398"/>
      <c r="O31" s="352">
        <f t="shared" ref="O31:O39" si="5">+I31-(SUM(J31:N31))</f>
        <v>672000</v>
      </c>
    </row>
    <row r="32" spans="1:15" s="353" customFormat="1" ht="168.75" x14ac:dyDescent="0.2">
      <c r="A32" s="346">
        <v>14</v>
      </c>
      <c r="B32" s="347" t="s">
        <v>2151</v>
      </c>
      <c r="C32" s="396" t="s">
        <v>2152</v>
      </c>
      <c r="D32" s="396" t="s">
        <v>2153</v>
      </c>
      <c r="E32" s="350" t="s">
        <v>1810</v>
      </c>
      <c r="F32" s="350" t="s">
        <v>161</v>
      </c>
      <c r="G32" s="350" t="s">
        <v>2154</v>
      </c>
      <c r="H32" s="351" t="s">
        <v>2292</v>
      </c>
      <c r="I32" s="397">
        <v>1785000</v>
      </c>
      <c r="J32" s="397">
        <v>0</v>
      </c>
      <c r="K32" s="397">
        <v>0</v>
      </c>
      <c r="L32" s="397">
        <v>0</v>
      </c>
      <c r="M32" s="397">
        <v>0</v>
      </c>
      <c r="N32" s="398" t="s">
        <v>1786</v>
      </c>
      <c r="O32" s="352">
        <f t="shared" si="5"/>
        <v>1785000</v>
      </c>
    </row>
    <row r="33" spans="1:15" s="353" customFormat="1" ht="131.25" x14ac:dyDescent="0.2">
      <c r="A33" s="346">
        <v>15</v>
      </c>
      <c r="B33" s="347" t="s">
        <v>2151</v>
      </c>
      <c r="C33" s="396" t="s">
        <v>2152</v>
      </c>
      <c r="D33" s="396" t="s">
        <v>2153</v>
      </c>
      <c r="E33" s="350" t="s">
        <v>2165</v>
      </c>
      <c r="F33" s="350" t="s">
        <v>161</v>
      </c>
      <c r="G33" s="350" t="s">
        <v>2154</v>
      </c>
      <c r="H33" s="351" t="s">
        <v>2293</v>
      </c>
      <c r="I33" s="397">
        <v>699050</v>
      </c>
      <c r="J33" s="397">
        <v>0</v>
      </c>
      <c r="K33" s="397">
        <v>0</v>
      </c>
      <c r="L33" s="397">
        <v>0</v>
      </c>
      <c r="M33" s="397">
        <v>0</v>
      </c>
      <c r="N33" s="398" t="s">
        <v>1786</v>
      </c>
      <c r="O33" s="352">
        <f t="shared" si="5"/>
        <v>699050</v>
      </c>
    </row>
    <row r="34" spans="1:15" s="353" customFormat="1" ht="187.5" x14ac:dyDescent="0.2">
      <c r="A34" s="346">
        <v>16</v>
      </c>
      <c r="B34" s="347" t="s">
        <v>2166</v>
      </c>
      <c r="C34" s="396" t="s">
        <v>2167</v>
      </c>
      <c r="D34" s="396" t="s">
        <v>2168</v>
      </c>
      <c r="E34" s="350" t="s">
        <v>1789</v>
      </c>
      <c r="F34" s="350" t="s">
        <v>161</v>
      </c>
      <c r="G34" s="350" t="s">
        <v>2154</v>
      </c>
      <c r="H34" s="351" t="s">
        <v>2294</v>
      </c>
      <c r="I34" s="397">
        <v>63019</v>
      </c>
      <c r="J34" s="397">
        <v>0</v>
      </c>
      <c r="K34" s="397">
        <v>0</v>
      </c>
      <c r="L34" s="397">
        <v>0</v>
      </c>
      <c r="M34" s="397">
        <v>0</v>
      </c>
      <c r="N34" s="398" t="s">
        <v>1786</v>
      </c>
      <c r="O34" s="352">
        <f t="shared" si="5"/>
        <v>63019</v>
      </c>
    </row>
    <row r="35" spans="1:15" s="353" customFormat="1" ht="168.75" x14ac:dyDescent="0.2">
      <c r="A35" s="346">
        <v>17</v>
      </c>
      <c r="B35" s="347" t="s">
        <v>2166</v>
      </c>
      <c r="C35" s="396" t="s">
        <v>2167</v>
      </c>
      <c r="D35" s="396" t="s">
        <v>2168</v>
      </c>
      <c r="E35" s="350" t="s">
        <v>1790</v>
      </c>
      <c r="F35" s="350" t="s">
        <v>161</v>
      </c>
      <c r="G35" s="350" t="s">
        <v>930</v>
      </c>
      <c r="H35" s="351" t="s">
        <v>2295</v>
      </c>
      <c r="I35" s="397">
        <v>277835</v>
      </c>
      <c r="J35" s="397">
        <v>0</v>
      </c>
      <c r="K35" s="397">
        <v>0</v>
      </c>
      <c r="L35" s="397">
        <v>0</v>
      </c>
      <c r="M35" s="397">
        <v>0</v>
      </c>
      <c r="N35" s="398" t="s">
        <v>1786</v>
      </c>
      <c r="O35" s="352">
        <f t="shared" si="5"/>
        <v>277835</v>
      </c>
    </row>
    <row r="36" spans="1:15" s="353" customFormat="1" ht="112.5" x14ac:dyDescent="0.2">
      <c r="A36" s="346">
        <v>18</v>
      </c>
      <c r="B36" s="347" t="s">
        <v>2225</v>
      </c>
      <c r="C36" s="396" t="s">
        <v>2226</v>
      </c>
      <c r="D36" s="396" t="s">
        <v>2227</v>
      </c>
      <c r="E36" s="350" t="s">
        <v>957</v>
      </c>
      <c r="F36" s="350" t="s">
        <v>1693</v>
      </c>
      <c r="G36" s="350" t="s">
        <v>1198</v>
      </c>
      <c r="H36" s="351" t="s">
        <v>2287</v>
      </c>
      <c r="I36" s="397">
        <v>36762</v>
      </c>
      <c r="J36" s="397">
        <v>0</v>
      </c>
      <c r="K36" s="397">
        <v>0</v>
      </c>
      <c r="L36" s="397">
        <v>0</v>
      </c>
      <c r="M36" s="397">
        <v>0</v>
      </c>
      <c r="N36" s="398" t="s">
        <v>1631</v>
      </c>
      <c r="O36" s="352">
        <f t="shared" si="5"/>
        <v>36762</v>
      </c>
    </row>
    <row r="37" spans="1:15" s="353" customFormat="1" ht="131.25" x14ac:dyDescent="0.2">
      <c r="A37" s="346">
        <v>19</v>
      </c>
      <c r="B37" s="347" t="s">
        <v>2243</v>
      </c>
      <c r="C37" s="396" t="s">
        <v>2244</v>
      </c>
      <c r="D37" s="396" t="s">
        <v>2245</v>
      </c>
      <c r="E37" s="350" t="s">
        <v>1688</v>
      </c>
      <c r="F37" s="350" t="s">
        <v>161</v>
      </c>
      <c r="G37" s="350" t="s">
        <v>1689</v>
      </c>
      <c r="H37" s="351" t="s">
        <v>2296</v>
      </c>
      <c r="I37" s="397">
        <v>144000</v>
      </c>
      <c r="J37" s="397">
        <v>0</v>
      </c>
      <c r="K37" s="397">
        <v>0</v>
      </c>
      <c r="L37" s="397">
        <v>0</v>
      </c>
      <c r="M37" s="397">
        <v>0</v>
      </c>
      <c r="N37" s="398" t="s">
        <v>1748</v>
      </c>
      <c r="O37" s="352">
        <f t="shared" si="5"/>
        <v>144000</v>
      </c>
    </row>
    <row r="38" spans="1:15" s="353" customFormat="1" ht="112.5" x14ac:dyDescent="0.2">
      <c r="A38" s="346">
        <v>20</v>
      </c>
      <c r="B38" s="347" t="s">
        <v>2270</v>
      </c>
      <c r="C38" s="396" t="s">
        <v>2297</v>
      </c>
      <c r="D38" s="396" t="s">
        <v>2298</v>
      </c>
      <c r="E38" s="350" t="s">
        <v>2165</v>
      </c>
      <c r="F38" s="350" t="s">
        <v>161</v>
      </c>
      <c r="G38" s="350" t="s">
        <v>1198</v>
      </c>
      <c r="H38" s="351" t="s">
        <v>2299</v>
      </c>
      <c r="I38" s="397">
        <v>128250</v>
      </c>
      <c r="J38" s="397">
        <v>6412.5</v>
      </c>
      <c r="K38" s="397">
        <v>6412.5</v>
      </c>
      <c r="L38" s="397">
        <v>0</v>
      </c>
      <c r="M38" s="397">
        <v>0</v>
      </c>
      <c r="N38" s="398">
        <v>0</v>
      </c>
      <c r="O38" s="352">
        <f t="shared" si="5"/>
        <v>115425</v>
      </c>
    </row>
    <row r="39" spans="1:15" s="353" customFormat="1" ht="93.75" x14ac:dyDescent="0.2">
      <c r="A39" s="346">
        <v>21</v>
      </c>
      <c r="B39" s="347" t="s">
        <v>2270</v>
      </c>
      <c r="C39" s="396" t="s">
        <v>2300</v>
      </c>
      <c r="D39" s="396" t="s">
        <v>2301</v>
      </c>
      <c r="E39" s="350" t="s">
        <v>914</v>
      </c>
      <c r="F39" s="350" t="s">
        <v>161</v>
      </c>
      <c r="G39" s="350" t="s">
        <v>2302</v>
      </c>
      <c r="H39" s="351" t="s">
        <v>2303</v>
      </c>
      <c r="I39" s="397">
        <v>19000</v>
      </c>
      <c r="J39" s="397">
        <v>950</v>
      </c>
      <c r="K39" s="397">
        <v>950</v>
      </c>
      <c r="L39" s="397">
        <v>0</v>
      </c>
      <c r="M39" s="397">
        <v>0</v>
      </c>
      <c r="N39" s="398">
        <v>0</v>
      </c>
      <c r="O39" s="352">
        <f t="shared" si="5"/>
        <v>17100</v>
      </c>
    </row>
    <row r="40" spans="1:15" s="395" customFormat="1" x14ac:dyDescent="0.2">
      <c r="A40" s="388" t="s">
        <v>512</v>
      </c>
      <c r="B40" s="389"/>
      <c r="C40" s="390"/>
      <c r="D40" s="390"/>
      <c r="E40" s="391"/>
      <c r="F40" s="391"/>
      <c r="G40" s="391"/>
      <c r="H40" s="392"/>
      <c r="I40" s="393">
        <f>SUM(I41:I44)</f>
        <v>5051998</v>
      </c>
      <c r="J40" s="393">
        <f t="shared" ref="J40:O40" si="6">SUM(J41:J44)</f>
        <v>4500</v>
      </c>
      <c r="K40" s="393">
        <f t="shared" si="6"/>
        <v>4500</v>
      </c>
      <c r="L40" s="393">
        <f t="shared" si="6"/>
        <v>180999</v>
      </c>
      <c r="M40" s="393">
        <f t="shared" si="6"/>
        <v>180999</v>
      </c>
      <c r="N40" s="393">
        <f t="shared" si="6"/>
        <v>0</v>
      </c>
      <c r="O40" s="394">
        <f t="shared" si="6"/>
        <v>4681000</v>
      </c>
    </row>
    <row r="41" spans="1:15" s="353" customFormat="1" ht="131.25" x14ac:dyDescent="0.2">
      <c r="A41" s="346">
        <v>1</v>
      </c>
      <c r="B41" s="347" t="s">
        <v>2045</v>
      </c>
      <c r="C41" s="396" t="s">
        <v>2046</v>
      </c>
      <c r="D41" s="396" t="s">
        <v>2047</v>
      </c>
      <c r="E41" s="350" t="s">
        <v>1268</v>
      </c>
      <c r="F41" s="350" t="s">
        <v>512</v>
      </c>
      <c r="G41" s="350" t="s">
        <v>1269</v>
      </c>
      <c r="H41" s="351" t="s">
        <v>2304</v>
      </c>
      <c r="I41" s="397">
        <f>39447+22551</f>
        <v>61998</v>
      </c>
      <c r="J41" s="397">
        <v>0</v>
      </c>
      <c r="K41" s="397">
        <v>0</v>
      </c>
      <c r="L41" s="397">
        <v>30999</v>
      </c>
      <c r="M41" s="397">
        <v>30999</v>
      </c>
      <c r="N41" s="397"/>
      <c r="O41" s="352">
        <f>+I41-(J41+K41+L41+M41+N41)</f>
        <v>0</v>
      </c>
    </row>
    <row r="42" spans="1:15" s="353" customFormat="1" ht="112.5" x14ac:dyDescent="0.2">
      <c r="A42" s="346">
        <v>2</v>
      </c>
      <c r="B42" s="347" t="s">
        <v>2048</v>
      </c>
      <c r="C42" s="396" t="s">
        <v>2049</v>
      </c>
      <c r="D42" s="396" t="s">
        <v>2050</v>
      </c>
      <c r="E42" s="350" t="s">
        <v>1268</v>
      </c>
      <c r="F42" s="350" t="s">
        <v>156</v>
      </c>
      <c r="G42" s="350" t="s">
        <v>2041</v>
      </c>
      <c r="H42" s="351" t="s">
        <v>2305</v>
      </c>
      <c r="I42" s="397">
        <f>14940+60+69890+110</f>
        <v>85000</v>
      </c>
      <c r="J42" s="397">
        <v>4250</v>
      </c>
      <c r="K42" s="397">
        <v>4250</v>
      </c>
      <c r="L42" s="397">
        <v>0</v>
      </c>
      <c r="M42" s="397">
        <v>0</v>
      </c>
      <c r="N42" s="398"/>
      <c r="O42" s="352">
        <f>+I42-(J42+K42+L42+M42)</f>
        <v>76500</v>
      </c>
    </row>
    <row r="43" spans="1:15" s="353" customFormat="1" ht="112.5" x14ac:dyDescent="0.2">
      <c r="A43" s="346">
        <v>3</v>
      </c>
      <c r="B43" s="347" t="s">
        <v>2169</v>
      </c>
      <c r="C43" s="396" t="s">
        <v>2170</v>
      </c>
      <c r="D43" s="396" t="s">
        <v>2171</v>
      </c>
      <c r="E43" s="350" t="s">
        <v>1268</v>
      </c>
      <c r="F43" s="350" t="s">
        <v>156</v>
      </c>
      <c r="G43" s="350" t="s">
        <v>2041</v>
      </c>
      <c r="H43" s="351" t="s">
        <v>2306</v>
      </c>
      <c r="I43" s="397">
        <v>5000</v>
      </c>
      <c r="J43" s="397">
        <v>250</v>
      </c>
      <c r="K43" s="397">
        <v>250</v>
      </c>
      <c r="L43" s="397">
        <v>0</v>
      </c>
      <c r="M43" s="397">
        <v>0</v>
      </c>
      <c r="N43" s="398"/>
      <c r="O43" s="352">
        <f>+I43-(J43+K43+L43+M43)</f>
        <v>4500</v>
      </c>
    </row>
    <row r="44" spans="1:15" s="353" customFormat="1" ht="112.5" x14ac:dyDescent="0.2">
      <c r="A44" s="346">
        <v>4</v>
      </c>
      <c r="B44" s="347" t="s">
        <v>2307</v>
      </c>
      <c r="C44" s="396" t="s">
        <v>2308</v>
      </c>
      <c r="D44" s="396" t="s">
        <v>2309</v>
      </c>
      <c r="E44" s="350" t="s">
        <v>1268</v>
      </c>
      <c r="F44" s="350" t="s">
        <v>156</v>
      </c>
      <c r="G44" s="350" t="s">
        <v>2310</v>
      </c>
      <c r="H44" s="351" t="s">
        <v>2311</v>
      </c>
      <c r="I44" s="397">
        <v>4900000</v>
      </c>
      <c r="J44" s="397">
        <v>0</v>
      </c>
      <c r="K44" s="397">
        <v>0</v>
      </c>
      <c r="L44" s="397">
        <v>150000</v>
      </c>
      <c r="M44" s="397">
        <v>150000</v>
      </c>
      <c r="N44" s="398"/>
      <c r="O44" s="352">
        <f>+I44-(J44+K44+L44+M44)</f>
        <v>4600000</v>
      </c>
    </row>
    <row r="45" spans="1:15" s="395" customFormat="1" x14ac:dyDescent="0.2">
      <c r="A45" s="388" t="s">
        <v>22</v>
      </c>
      <c r="B45" s="389"/>
      <c r="C45" s="390"/>
      <c r="D45" s="390"/>
      <c r="E45" s="391"/>
      <c r="F45" s="391"/>
      <c r="G45" s="391"/>
      <c r="H45" s="392"/>
      <c r="I45" s="393">
        <f>SUM(I46:I73)</f>
        <v>7753609</v>
      </c>
      <c r="J45" s="393">
        <f t="shared" ref="J45:O45" si="7">SUM(J46:J73)</f>
        <v>75942.5</v>
      </c>
      <c r="K45" s="393">
        <f t="shared" si="7"/>
        <v>75942.5</v>
      </c>
      <c r="L45" s="393">
        <f t="shared" si="7"/>
        <v>26227.5</v>
      </c>
      <c r="M45" s="393">
        <f t="shared" si="7"/>
        <v>26227.5</v>
      </c>
      <c r="N45" s="393">
        <f t="shared" si="7"/>
        <v>0</v>
      </c>
      <c r="O45" s="394">
        <f t="shared" si="7"/>
        <v>7549269</v>
      </c>
    </row>
    <row r="46" spans="1:15" s="353" customFormat="1" ht="75" x14ac:dyDescent="0.2">
      <c r="A46" s="346">
        <v>1</v>
      </c>
      <c r="B46" s="347" t="s">
        <v>2051</v>
      </c>
      <c r="C46" s="396" t="s">
        <v>2052</v>
      </c>
      <c r="D46" s="396" t="s">
        <v>2053</v>
      </c>
      <c r="E46" s="350" t="s">
        <v>451</v>
      </c>
      <c r="F46" s="350" t="s">
        <v>22</v>
      </c>
      <c r="G46" s="350" t="s">
        <v>1859</v>
      </c>
      <c r="H46" s="351" t="s">
        <v>2312</v>
      </c>
      <c r="I46" s="397">
        <f>40500+40500</f>
        <v>81000</v>
      </c>
      <c r="J46" s="397">
        <v>6480</v>
      </c>
      <c r="K46" s="397">
        <v>6480</v>
      </c>
      <c r="L46" s="397">
        <v>0</v>
      </c>
      <c r="M46" s="397">
        <v>0</v>
      </c>
      <c r="N46" s="397"/>
      <c r="O46" s="352">
        <f>+I46-(J46+K46+L46+M46+N46)</f>
        <v>68040</v>
      </c>
    </row>
    <row r="47" spans="1:15" s="353" customFormat="1" ht="168.75" x14ac:dyDescent="0.2">
      <c r="A47" s="346">
        <v>2</v>
      </c>
      <c r="B47" s="347" t="s">
        <v>2054</v>
      </c>
      <c r="C47" s="396" t="s">
        <v>2055</v>
      </c>
      <c r="D47" s="396" t="s">
        <v>2056</v>
      </c>
      <c r="E47" s="350" t="s">
        <v>1180</v>
      </c>
      <c r="F47" s="350" t="s">
        <v>22</v>
      </c>
      <c r="G47" s="350" t="s">
        <v>1729</v>
      </c>
      <c r="H47" s="351" t="s">
        <v>2313</v>
      </c>
      <c r="I47" s="397">
        <v>20000</v>
      </c>
      <c r="J47" s="397">
        <v>1600</v>
      </c>
      <c r="K47" s="397">
        <v>1600</v>
      </c>
      <c r="L47" s="397"/>
      <c r="M47" s="397"/>
      <c r="N47" s="397"/>
      <c r="O47" s="352">
        <f>+I47-(J47+K47+L47+M47+N47)</f>
        <v>16800</v>
      </c>
    </row>
    <row r="48" spans="1:15" s="353" customFormat="1" ht="225" x14ac:dyDescent="0.2">
      <c r="A48" s="346">
        <v>3</v>
      </c>
      <c r="B48" s="347" t="s">
        <v>2057</v>
      </c>
      <c r="C48" s="396" t="s">
        <v>2058</v>
      </c>
      <c r="D48" s="396" t="s">
        <v>2059</v>
      </c>
      <c r="E48" s="350" t="s">
        <v>1884</v>
      </c>
      <c r="F48" s="350" t="s">
        <v>22</v>
      </c>
      <c r="G48" s="350" t="s">
        <v>930</v>
      </c>
      <c r="H48" s="351" t="s">
        <v>2314</v>
      </c>
      <c r="I48" s="397">
        <v>392860</v>
      </c>
      <c r="J48" s="397">
        <v>0</v>
      </c>
      <c r="K48" s="397">
        <v>0</v>
      </c>
      <c r="L48" s="397">
        <v>0</v>
      </c>
      <c r="M48" s="397">
        <v>0</v>
      </c>
      <c r="N48" s="398" t="s">
        <v>1786</v>
      </c>
      <c r="O48" s="352">
        <f t="shared" ref="O48:O73" si="8">+I48-(J48+K48+L48+M48)</f>
        <v>392860</v>
      </c>
    </row>
    <row r="49" spans="1:15" s="353" customFormat="1" ht="187.5" x14ac:dyDescent="0.2">
      <c r="A49" s="346">
        <v>4</v>
      </c>
      <c r="B49" s="347" t="s">
        <v>2057</v>
      </c>
      <c r="C49" s="396" t="s">
        <v>2058</v>
      </c>
      <c r="D49" s="396" t="s">
        <v>2059</v>
      </c>
      <c r="E49" s="350" t="s">
        <v>1884</v>
      </c>
      <c r="F49" s="350" t="s">
        <v>22</v>
      </c>
      <c r="G49" s="350" t="s">
        <v>930</v>
      </c>
      <c r="H49" s="351" t="s">
        <v>2315</v>
      </c>
      <c r="I49" s="397">
        <v>681435</v>
      </c>
      <c r="J49" s="397">
        <v>0</v>
      </c>
      <c r="K49" s="397">
        <v>0</v>
      </c>
      <c r="L49" s="397">
        <v>0</v>
      </c>
      <c r="M49" s="397">
        <v>0</v>
      </c>
      <c r="N49" s="398" t="s">
        <v>1786</v>
      </c>
      <c r="O49" s="352">
        <f t="shared" si="8"/>
        <v>681435</v>
      </c>
    </row>
    <row r="50" spans="1:15" s="353" customFormat="1" ht="225" x14ac:dyDescent="0.2">
      <c r="A50" s="346">
        <v>5</v>
      </c>
      <c r="B50" s="347" t="s">
        <v>2035</v>
      </c>
      <c r="C50" s="396" t="s">
        <v>2060</v>
      </c>
      <c r="D50" s="396" t="s">
        <v>2061</v>
      </c>
      <c r="E50" s="350" t="s">
        <v>2062</v>
      </c>
      <c r="F50" s="350" t="s">
        <v>22</v>
      </c>
      <c r="G50" s="350" t="s">
        <v>2063</v>
      </c>
      <c r="H50" s="351" t="s">
        <v>2316</v>
      </c>
      <c r="I50" s="397">
        <v>40000</v>
      </c>
      <c r="J50" s="397">
        <v>0</v>
      </c>
      <c r="K50" s="397">
        <v>0</v>
      </c>
      <c r="L50" s="397">
        <v>0</v>
      </c>
      <c r="M50" s="397">
        <v>0</v>
      </c>
      <c r="N50" s="398" t="s">
        <v>1893</v>
      </c>
      <c r="O50" s="352">
        <f t="shared" si="8"/>
        <v>40000</v>
      </c>
    </row>
    <row r="51" spans="1:15" s="353" customFormat="1" ht="150" x14ac:dyDescent="0.2">
      <c r="A51" s="346">
        <v>6</v>
      </c>
      <c r="B51" s="347" t="s">
        <v>2064</v>
      </c>
      <c r="C51" s="396" t="s">
        <v>2065</v>
      </c>
      <c r="D51" s="396" t="s">
        <v>2066</v>
      </c>
      <c r="E51" s="350" t="s">
        <v>1226</v>
      </c>
      <c r="F51" s="350" t="s">
        <v>22</v>
      </c>
      <c r="G51" s="350" t="s">
        <v>1079</v>
      </c>
      <c r="H51" s="351" t="s">
        <v>2317</v>
      </c>
      <c r="I51" s="397">
        <v>240000</v>
      </c>
      <c r="J51" s="397">
        <v>0</v>
      </c>
      <c r="K51" s="397">
        <v>0</v>
      </c>
      <c r="L51" s="397">
        <v>0</v>
      </c>
      <c r="M51" s="397">
        <v>0</v>
      </c>
      <c r="N51" s="398" t="s">
        <v>1893</v>
      </c>
      <c r="O51" s="352">
        <f t="shared" si="8"/>
        <v>240000</v>
      </c>
    </row>
    <row r="52" spans="1:15" s="353" customFormat="1" ht="112.5" x14ac:dyDescent="0.2">
      <c r="A52" s="346">
        <v>7</v>
      </c>
      <c r="B52" s="347" t="s">
        <v>2019</v>
      </c>
      <c r="C52" s="396" t="s">
        <v>2020</v>
      </c>
      <c r="D52" s="396" t="s">
        <v>2021</v>
      </c>
      <c r="E52" s="350" t="s">
        <v>1894</v>
      </c>
      <c r="F52" s="350" t="s">
        <v>22</v>
      </c>
      <c r="G52" s="350" t="s">
        <v>1763</v>
      </c>
      <c r="H52" s="351" t="s">
        <v>2318</v>
      </c>
      <c r="I52" s="397">
        <v>732320</v>
      </c>
      <c r="J52" s="397">
        <v>0</v>
      </c>
      <c r="K52" s="397">
        <v>0</v>
      </c>
      <c r="L52" s="397">
        <v>0</v>
      </c>
      <c r="M52" s="397">
        <v>0</v>
      </c>
      <c r="N52" s="398" t="s">
        <v>1786</v>
      </c>
      <c r="O52" s="352">
        <f t="shared" si="8"/>
        <v>732320</v>
      </c>
    </row>
    <row r="53" spans="1:15" s="353" customFormat="1" ht="131.25" x14ac:dyDescent="0.2">
      <c r="A53" s="346">
        <v>8</v>
      </c>
      <c r="B53" s="347" t="s">
        <v>2042</v>
      </c>
      <c r="C53" s="396" t="s">
        <v>2067</v>
      </c>
      <c r="D53" s="396" t="s">
        <v>2068</v>
      </c>
      <c r="E53" s="350" t="s">
        <v>1880</v>
      </c>
      <c r="F53" s="350" t="s">
        <v>22</v>
      </c>
      <c r="G53" s="350" t="s">
        <v>1198</v>
      </c>
      <c r="H53" s="351" t="s">
        <v>2319</v>
      </c>
      <c r="I53" s="397">
        <v>266000</v>
      </c>
      <c r="J53" s="397">
        <v>0</v>
      </c>
      <c r="K53" s="397">
        <v>0</v>
      </c>
      <c r="L53" s="397">
        <v>11550</v>
      </c>
      <c r="M53" s="397">
        <v>11550</v>
      </c>
      <c r="N53" s="398"/>
      <c r="O53" s="352">
        <f t="shared" si="8"/>
        <v>242900</v>
      </c>
    </row>
    <row r="54" spans="1:15" s="353" customFormat="1" ht="131.25" x14ac:dyDescent="0.2">
      <c r="A54" s="346">
        <v>9</v>
      </c>
      <c r="B54" s="347" t="s">
        <v>2127</v>
      </c>
      <c r="C54" s="396" t="s">
        <v>2130</v>
      </c>
      <c r="D54" s="396" t="s">
        <v>2131</v>
      </c>
      <c r="E54" s="350" t="s">
        <v>1180</v>
      </c>
      <c r="F54" s="350" t="s">
        <v>22</v>
      </c>
      <c r="G54" s="350" t="s">
        <v>1264</v>
      </c>
      <c r="H54" s="351" t="s">
        <v>2320</v>
      </c>
      <c r="I54" s="397">
        <v>30000</v>
      </c>
      <c r="J54" s="397">
        <v>1500</v>
      </c>
      <c r="K54" s="397">
        <v>1500</v>
      </c>
      <c r="L54" s="397">
        <v>0</v>
      </c>
      <c r="M54" s="397">
        <v>0</v>
      </c>
      <c r="N54" s="398"/>
      <c r="O54" s="352">
        <f t="shared" si="8"/>
        <v>27000</v>
      </c>
    </row>
    <row r="55" spans="1:15" s="353" customFormat="1" ht="131.25" x14ac:dyDescent="0.2">
      <c r="A55" s="346">
        <v>10</v>
      </c>
      <c r="B55" s="347" t="s">
        <v>2127</v>
      </c>
      <c r="C55" s="396" t="s">
        <v>2132</v>
      </c>
      <c r="D55" s="396" t="s">
        <v>2131</v>
      </c>
      <c r="E55" s="350" t="s">
        <v>1180</v>
      </c>
      <c r="F55" s="350" t="s">
        <v>22</v>
      </c>
      <c r="G55" s="350" t="s">
        <v>1264</v>
      </c>
      <c r="H55" s="351" t="s">
        <v>2321</v>
      </c>
      <c r="I55" s="397">
        <v>30000</v>
      </c>
      <c r="J55" s="397">
        <v>1500</v>
      </c>
      <c r="K55" s="397">
        <v>1500</v>
      </c>
      <c r="L55" s="397">
        <v>0</v>
      </c>
      <c r="M55" s="397">
        <v>0</v>
      </c>
      <c r="N55" s="398"/>
      <c r="O55" s="352">
        <f t="shared" si="8"/>
        <v>27000</v>
      </c>
    </row>
    <row r="56" spans="1:15" s="353" customFormat="1" ht="93.75" x14ac:dyDescent="0.2">
      <c r="A56" s="346">
        <v>11</v>
      </c>
      <c r="B56" s="347" t="s">
        <v>2127</v>
      </c>
      <c r="C56" s="396" t="s">
        <v>2133</v>
      </c>
      <c r="D56" s="396" t="s">
        <v>2134</v>
      </c>
      <c r="E56" s="350" t="s">
        <v>2135</v>
      </c>
      <c r="F56" s="350" t="s">
        <v>22</v>
      </c>
      <c r="G56" s="350" t="s">
        <v>1198</v>
      </c>
      <c r="H56" s="351" t="s">
        <v>2322</v>
      </c>
      <c r="I56" s="397">
        <v>128250</v>
      </c>
      <c r="J56" s="397">
        <v>0</v>
      </c>
      <c r="K56" s="397">
        <v>0</v>
      </c>
      <c r="L56" s="397">
        <v>6412.5</v>
      </c>
      <c r="M56" s="397">
        <v>6412.5</v>
      </c>
      <c r="N56" s="398"/>
      <c r="O56" s="352">
        <f t="shared" si="8"/>
        <v>115425</v>
      </c>
    </row>
    <row r="57" spans="1:15" s="353" customFormat="1" ht="112.5" x14ac:dyDescent="0.2">
      <c r="A57" s="346">
        <v>12</v>
      </c>
      <c r="B57" s="347" t="s">
        <v>2139</v>
      </c>
      <c r="C57" s="396" t="s">
        <v>2140</v>
      </c>
      <c r="D57" s="396" t="s">
        <v>2141</v>
      </c>
      <c r="E57" s="350" t="s">
        <v>2142</v>
      </c>
      <c r="F57" s="350" t="s">
        <v>22</v>
      </c>
      <c r="G57" s="350" t="s">
        <v>1198</v>
      </c>
      <c r="H57" s="351" t="s">
        <v>2323</v>
      </c>
      <c r="I57" s="397">
        <v>165300</v>
      </c>
      <c r="J57" s="397">
        <v>0</v>
      </c>
      <c r="K57" s="397">
        <v>0</v>
      </c>
      <c r="L57" s="397">
        <v>8265</v>
      </c>
      <c r="M57" s="397">
        <v>8265</v>
      </c>
      <c r="N57" s="398"/>
      <c r="O57" s="352">
        <f t="shared" si="8"/>
        <v>148770</v>
      </c>
    </row>
    <row r="58" spans="1:15" s="353" customFormat="1" ht="112.5" x14ac:dyDescent="0.2">
      <c r="A58" s="346">
        <v>13</v>
      </c>
      <c r="B58" s="347" t="s">
        <v>2159</v>
      </c>
      <c r="C58" s="396" t="s">
        <v>2172</v>
      </c>
      <c r="D58" s="396" t="s">
        <v>2173</v>
      </c>
      <c r="E58" s="350" t="s">
        <v>2174</v>
      </c>
      <c r="F58" s="350" t="s">
        <v>22</v>
      </c>
      <c r="G58" s="350" t="s">
        <v>1198</v>
      </c>
      <c r="H58" s="351" t="s">
        <v>2324</v>
      </c>
      <c r="I58" s="397">
        <v>71250</v>
      </c>
      <c r="J58" s="397">
        <v>0</v>
      </c>
      <c r="K58" s="397">
        <v>0</v>
      </c>
      <c r="L58" s="397">
        <v>0</v>
      </c>
      <c r="M58" s="397">
        <v>0</v>
      </c>
      <c r="N58" s="398" t="s">
        <v>2325</v>
      </c>
      <c r="O58" s="352">
        <f t="shared" si="8"/>
        <v>71250</v>
      </c>
    </row>
    <row r="59" spans="1:15" s="353" customFormat="1" ht="93.75" x14ac:dyDescent="0.2">
      <c r="A59" s="346">
        <v>14</v>
      </c>
      <c r="B59" s="347" t="s">
        <v>2159</v>
      </c>
      <c r="C59" s="396" t="s">
        <v>2175</v>
      </c>
      <c r="D59" s="396" t="s">
        <v>2176</v>
      </c>
      <c r="E59" s="350" t="s">
        <v>2177</v>
      </c>
      <c r="F59" s="350" t="s">
        <v>22</v>
      </c>
      <c r="G59" s="350" t="s">
        <v>1198</v>
      </c>
      <c r="H59" s="351" t="s">
        <v>2326</v>
      </c>
      <c r="I59" s="397">
        <v>128250</v>
      </c>
      <c r="J59" s="397">
        <v>6412.5</v>
      </c>
      <c r="K59" s="397">
        <v>6412.5</v>
      </c>
      <c r="L59" s="397">
        <v>0</v>
      </c>
      <c r="M59" s="397">
        <v>0</v>
      </c>
      <c r="N59" s="398"/>
      <c r="O59" s="352">
        <f t="shared" si="8"/>
        <v>115425</v>
      </c>
    </row>
    <row r="60" spans="1:15" s="353" customFormat="1" ht="300" x14ac:dyDescent="0.2">
      <c r="A60" s="346">
        <v>15</v>
      </c>
      <c r="B60" s="347" t="s">
        <v>2178</v>
      </c>
      <c r="C60" s="396" t="s">
        <v>2179</v>
      </c>
      <c r="D60" s="396" t="s">
        <v>2180</v>
      </c>
      <c r="E60" s="350" t="s">
        <v>2181</v>
      </c>
      <c r="F60" s="350" t="s">
        <v>22</v>
      </c>
      <c r="G60" s="350" t="s">
        <v>1198</v>
      </c>
      <c r="H60" s="351" t="s">
        <v>2327</v>
      </c>
      <c r="I60" s="397">
        <v>300000</v>
      </c>
      <c r="J60" s="397">
        <v>0</v>
      </c>
      <c r="K60" s="397">
        <v>0</v>
      </c>
      <c r="L60" s="397">
        <v>0</v>
      </c>
      <c r="M60" s="397">
        <v>0</v>
      </c>
      <c r="N60" s="398" t="s">
        <v>2182</v>
      </c>
      <c r="O60" s="352">
        <f t="shared" si="8"/>
        <v>300000</v>
      </c>
    </row>
    <row r="61" spans="1:15" s="353" customFormat="1" ht="262.5" x14ac:dyDescent="0.2">
      <c r="A61" s="346">
        <v>16</v>
      </c>
      <c r="B61" s="347" t="s">
        <v>2178</v>
      </c>
      <c r="C61" s="396" t="s">
        <v>2179</v>
      </c>
      <c r="D61" s="396" t="s">
        <v>2180</v>
      </c>
      <c r="E61" s="350" t="s">
        <v>2183</v>
      </c>
      <c r="F61" s="350" t="s">
        <v>22</v>
      </c>
      <c r="G61" s="350" t="s">
        <v>1198</v>
      </c>
      <c r="H61" s="351" t="s">
        <v>2328</v>
      </c>
      <c r="I61" s="397">
        <v>295200</v>
      </c>
      <c r="J61" s="397">
        <v>0</v>
      </c>
      <c r="K61" s="397">
        <v>0</v>
      </c>
      <c r="L61" s="397">
        <v>0</v>
      </c>
      <c r="M61" s="397">
        <v>0</v>
      </c>
      <c r="N61" s="398" t="s">
        <v>2182</v>
      </c>
      <c r="O61" s="352">
        <f t="shared" si="8"/>
        <v>295200</v>
      </c>
    </row>
    <row r="62" spans="1:15" s="353" customFormat="1" ht="150" x14ac:dyDescent="0.2">
      <c r="A62" s="346">
        <v>17</v>
      </c>
      <c r="B62" s="347" t="s">
        <v>2184</v>
      </c>
      <c r="C62" s="396" t="s">
        <v>2185</v>
      </c>
      <c r="D62" s="396" t="s">
        <v>2186</v>
      </c>
      <c r="E62" s="350" t="s">
        <v>451</v>
      </c>
      <c r="F62" s="350" t="s">
        <v>22</v>
      </c>
      <c r="G62" s="350" t="s">
        <v>2154</v>
      </c>
      <c r="H62" s="351" t="s">
        <v>2329</v>
      </c>
      <c r="I62" s="397">
        <v>428000</v>
      </c>
      <c r="J62" s="397">
        <v>0</v>
      </c>
      <c r="K62" s="397">
        <v>0</v>
      </c>
      <c r="L62" s="397">
        <v>0</v>
      </c>
      <c r="M62" s="397">
        <v>0</v>
      </c>
      <c r="N62" s="398" t="s">
        <v>1786</v>
      </c>
      <c r="O62" s="352">
        <f t="shared" si="8"/>
        <v>428000</v>
      </c>
    </row>
    <row r="63" spans="1:15" s="353" customFormat="1" ht="131.25" x14ac:dyDescent="0.2">
      <c r="A63" s="346">
        <v>18</v>
      </c>
      <c r="B63" s="347" t="s">
        <v>2187</v>
      </c>
      <c r="C63" s="396" t="s">
        <v>2188</v>
      </c>
      <c r="D63" s="396" t="s">
        <v>2189</v>
      </c>
      <c r="E63" s="350" t="s">
        <v>451</v>
      </c>
      <c r="F63" s="350" t="s">
        <v>22</v>
      </c>
      <c r="G63" s="350" t="s">
        <v>1162</v>
      </c>
      <c r="H63" s="351" t="s">
        <v>2330</v>
      </c>
      <c r="I63" s="397">
        <v>19950</v>
      </c>
      <c r="J63" s="397">
        <v>0</v>
      </c>
      <c r="K63" s="397">
        <v>0</v>
      </c>
      <c r="L63" s="397">
        <v>0</v>
      </c>
      <c r="M63" s="397">
        <v>0</v>
      </c>
      <c r="N63" s="398" t="s">
        <v>1911</v>
      </c>
      <c r="O63" s="352">
        <f t="shared" si="8"/>
        <v>19950</v>
      </c>
    </row>
    <row r="64" spans="1:15" s="353" customFormat="1" ht="150" x14ac:dyDescent="0.2">
      <c r="A64" s="346">
        <v>19</v>
      </c>
      <c r="B64" s="347" t="s">
        <v>2151</v>
      </c>
      <c r="C64" s="396" t="s">
        <v>2152</v>
      </c>
      <c r="D64" s="396" t="s">
        <v>2153</v>
      </c>
      <c r="E64" s="350" t="s">
        <v>1894</v>
      </c>
      <c r="F64" s="350" t="s">
        <v>22</v>
      </c>
      <c r="G64" s="350" t="s">
        <v>2154</v>
      </c>
      <c r="H64" s="351" t="s">
        <v>2331</v>
      </c>
      <c r="I64" s="397">
        <v>1681994</v>
      </c>
      <c r="J64" s="397">
        <v>0</v>
      </c>
      <c r="K64" s="397">
        <v>0</v>
      </c>
      <c r="L64" s="397">
        <v>0</v>
      </c>
      <c r="M64" s="397">
        <v>0</v>
      </c>
      <c r="N64" s="398" t="s">
        <v>1786</v>
      </c>
      <c r="O64" s="352">
        <f t="shared" si="8"/>
        <v>1681994</v>
      </c>
    </row>
    <row r="65" spans="1:15" s="353" customFormat="1" ht="168.75" x14ac:dyDescent="0.2">
      <c r="A65" s="346">
        <v>20</v>
      </c>
      <c r="B65" s="347" t="s">
        <v>2151</v>
      </c>
      <c r="C65" s="396" t="s">
        <v>2152</v>
      </c>
      <c r="D65" s="396" t="s">
        <v>2153</v>
      </c>
      <c r="E65" s="350" t="s">
        <v>2190</v>
      </c>
      <c r="F65" s="350" t="s">
        <v>22</v>
      </c>
      <c r="G65" s="350" t="s">
        <v>2154</v>
      </c>
      <c r="H65" s="351" t="s">
        <v>2332</v>
      </c>
      <c r="I65" s="397">
        <v>577800</v>
      </c>
      <c r="J65" s="397">
        <v>0</v>
      </c>
      <c r="K65" s="397">
        <v>0</v>
      </c>
      <c r="L65" s="397">
        <v>0</v>
      </c>
      <c r="M65" s="397">
        <v>0</v>
      </c>
      <c r="N65" s="398" t="s">
        <v>1786</v>
      </c>
      <c r="O65" s="352">
        <f t="shared" si="8"/>
        <v>577800</v>
      </c>
    </row>
    <row r="66" spans="1:15" s="353" customFormat="1" ht="93.75" x14ac:dyDescent="0.2">
      <c r="A66" s="346">
        <v>21</v>
      </c>
      <c r="B66" s="347" t="s">
        <v>2228</v>
      </c>
      <c r="C66" s="396" t="s">
        <v>2229</v>
      </c>
      <c r="D66" s="396" t="s">
        <v>2230</v>
      </c>
      <c r="E66" s="350" t="s">
        <v>2231</v>
      </c>
      <c r="F66" s="350" t="s">
        <v>22</v>
      </c>
      <c r="G66" s="350" t="s">
        <v>1897</v>
      </c>
      <c r="H66" s="351" t="s">
        <v>2333</v>
      </c>
      <c r="I66" s="397">
        <f>45000+405000</f>
        <v>450000</v>
      </c>
      <c r="J66" s="397">
        <v>22500</v>
      </c>
      <c r="K66" s="397">
        <v>22500</v>
      </c>
      <c r="L66" s="397">
        <v>0</v>
      </c>
      <c r="M66" s="397">
        <v>0</v>
      </c>
      <c r="N66" s="398"/>
      <c r="O66" s="352">
        <f t="shared" si="8"/>
        <v>405000</v>
      </c>
    </row>
    <row r="67" spans="1:15" s="353" customFormat="1" ht="112.5" x14ac:dyDescent="0.2">
      <c r="A67" s="346">
        <v>22</v>
      </c>
      <c r="B67" s="347" t="s">
        <v>2228</v>
      </c>
      <c r="C67" s="396" t="s">
        <v>2232</v>
      </c>
      <c r="D67" s="396" t="s">
        <v>2233</v>
      </c>
      <c r="E67" s="350" t="s">
        <v>746</v>
      </c>
      <c r="F67" s="350" t="s">
        <v>22</v>
      </c>
      <c r="G67" s="350" t="s">
        <v>1897</v>
      </c>
      <c r="H67" s="351" t="s">
        <v>2334</v>
      </c>
      <c r="I67" s="397">
        <f>405000+45000</f>
        <v>450000</v>
      </c>
      <c r="J67" s="397">
        <v>22500</v>
      </c>
      <c r="K67" s="397">
        <v>22500</v>
      </c>
      <c r="L67" s="397">
        <v>0</v>
      </c>
      <c r="M67" s="397">
        <v>0</v>
      </c>
      <c r="N67" s="398"/>
      <c r="O67" s="352">
        <f t="shared" si="8"/>
        <v>405000</v>
      </c>
    </row>
    <row r="68" spans="1:15" s="353" customFormat="1" ht="131.25" x14ac:dyDescent="0.2">
      <c r="A68" s="346">
        <v>23</v>
      </c>
      <c r="B68" s="347" t="s">
        <v>2225</v>
      </c>
      <c r="C68" s="396" t="s">
        <v>2234</v>
      </c>
      <c r="D68" s="396" t="s">
        <v>2235</v>
      </c>
      <c r="E68" s="350" t="s">
        <v>1880</v>
      </c>
      <c r="F68" s="350" t="s">
        <v>22</v>
      </c>
      <c r="G68" s="350" t="s">
        <v>1198</v>
      </c>
      <c r="H68" s="351" t="s">
        <v>2335</v>
      </c>
      <c r="I68" s="397">
        <v>35000</v>
      </c>
      <c r="J68" s="397">
        <v>0</v>
      </c>
      <c r="K68" s="397">
        <v>0</v>
      </c>
      <c r="L68" s="397">
        <v>0</v>
      </c>
      <c r="M68" s="397">
        <v>0</v>
      </c>
      <c r="N68" s="398" t="s">
        <v>1631</v>
      </c>
      <c r="O68" s="352">
        <f t="shared" si="8"/>
        <v>35000</v>
      </c>
    </row>
    <row r="69" spans="1:15" s="353" customFormat="1" ht="131.25" x14ac:dyDescent="0.2">
      <c r="A69" s="346">
        <v>24</v>
      </c>
      <c r="B69" s="347" t="s">
        <v>2246</v>
      </c>
      <c r="C69" s="396" t="s">
        <v>2247</v>
      </c>
      <c r="D69" s="396" t="s">
        <v>2248</v>
      </c>
      <c r="E69" s="350" t="s">
        <v>451</v>
      </c>
      <c r="F69" s="350" t="s">
        <v>22</v>
      </c>
      <c r="G69" s="350" t="s">
        <v>2249</v>
      </c>
      <c r="H69" s="351" t="s">
        <v>2336</v>
      </c>
      <c r="I69" s="397">
        <v>64000</v>
      </c>
      <c r="J69" s="397">
        <v>3200</v>
      </c>
      <c r="K69" s="397">
        <v>3200</v>
      </c>
      <c r="L69" s="397">
        <v>0</v>
      </c>
      <c r="M69" s="397">
        <v>0</v>
      </c>
      <c r="N69" s="398"/>
      <c r="O69" s="352">
        <f t="shared" si="8"/>
        <v>57600</v>
      </c>
    </row>
    <row r="70" spans="1:15" s="353" customFormat="1" ht="168.75" x14ac:dyDescent="0.2">
      <c r="A70" s="346">
        <v>25</v>
      </c>
      <c r="B70" s="347" t="s">
        <v>2243</v>
      </c>
      <c r="C70" s="396" t="s">
        <v>2244</v>
      </c>
      <c r="D70" s="396" t="s">
        <v>2245</v>
      </c>
      <c r="E70" s="350" t="s">
        <v>1724</v>
      </c>
      <c r="F70" s="350" t="s">
        <v>22</v>
      </c>
      <c r="G70" s="350" t="s">
        <v>1689</v>
      </c>
      <c r="H70" s="351" t="s">
        <v>1966</v>
      </c>
      <c r="I70" s="397">
        <v>240000</v>
      </c>
      <c r="J70" s="397">
        <v>0</v>
      </c>
      <c r="K70" s="397">
        <v>0</v>
      </c>
      <c r="L70" s="397">
        <v>0</v>
      </c>
      <c r="M70" s="397">
        <v>0</v>
      </c>
      <c r="N70" s="398" t="s">
        <v>1748</v>
      </c>
      <c r="O70" s="352">
        <f t="shared" si="8"/>
        <v>240000</v>
      </c>
    </row>
    <row r="71" spans="1:15" s="353" customFormat="1" ht="131.25" x14ac:dyDescent="0.2">
      <c r="A71" s="346">
        <v>26</v>
      </c>
      <c r="B71" s="347" t="s">
        <v>2337</v>
      </c>
      <c r="C71" s="396" t="s">
        <v>2338</v>
      </c>
      <c r="D71" s="396" t="s">
        <v>2339</v>
      </c>
      <c r="E71" s="350" t="s">
        <v>451</v>
      </c>
      <c r="F71" s="350" t="s">
        <v>22</v>
      </c>
      <c r="G71" s="350" t="s">
        <v>2249</v>
      </c>
      <c r="H71" s="351" t="s">
        <v>2340</v>
      </c>
      <c r="I71" s="397">
        <v>64000</v>
      </c>
      <c r="J71" s="397">
        <v>3200</v>
      </c>
      <c r="K71" s="397">
        <v>3200</v>
      </c>
      <c r="L71" s="397">
        <v>0</v>
      </c>
      <c r="M71" s="397">
        <v>0</v>
      </c>
      <c r="N71" s="398">
        <v>0</v>
      </c>
      <c r="O71" s="352">
        <f t="shared" si="8"/>
        <v>57600</v>
      </c>
    </row>
    <row r="72" spans="1:15" s="353" customFormat="1" ht="150" x14ac:dyDescent="0.2">
      <c r="A72" s="346">
        <v>27</v>
      </c>
      <c r="B72" s="347" t="s">
        <v>2337</v>
      </c>
      <c r="C72" s="396" t="s">
        <v>2341</v>
      </c>
      <c r="D72" s="396" t="s">
        <v>2342</v>
      </c>
      <c r="E72" s="350" t="s">
        <v>2343</v>
      </c>
      <c r="F72" s="350" t="s">
        <v>22</v>
      </c>
      <c r="G72" s="350" t="s">
        <v>2249</v>
      </c>
      <c r="H72" s="351" t="s">
        <v>2344</v>
      </c>
      <c r="I72" s="397">
        <v>21000</v>
      </c>
      <c r="J72" s="397">
        <v>1050</v>
      </c>
      <c r="K72" s="397">
        <v>1050</v>
      </c>
      <c r="L72" s="397">
        <v>0</v>
      </c>
      <c r="M72" s="397">
        <v>0</v>
      </c>
      <c r="N72" s="398">
        <v>0</v>
      </c>
      <c r="O72" s="352">
        <f t="shared" si="8"/>
        <v>18900</v>
      </c>
    </row>
    <row r="73" spans="1:15" s="353" customFormat="1" ht="131.25" x14ac:dyDescent="0.2">
      <c r="A73" s="346">
        <v>28</v>
      </c>
      <c r="B73" s="347" t="s">
        <v>2270</v>
      </c>
      <c r="C73" s="396" t="s">
        <v>2345</v>
      </c>
      <c r="D73" s="396" t="s">
        <v>2346</v>
      </c>
      <c r="E73" s="350" t="s">
        <v>1167</v>
      </c>
      <c r="F73" s="350" t="s">
        <v>22</v>
      </c>
      <c r="G73" s="350" t="s">
        <v>2347</v>
      </c>
      <c r="H73" s="351" t="s">
        <v>2348</v>
      </c>
      <c r="I73" s="397">
        <v>120000</v>
      </c>
      <c r="J73" s="397">
        <v>6000</v>
      </c>
      <c r="K73" s="397">
        <v>6000</v>
      </c>
      <c r="L73" s="397">
        <v>0</v>
      </c>
      <c r="M73" s="397">
        <v>0</v>
      </c>
      <c r="N73" s="398"/>
      <c r="O73" s="352">
        <f t="shared" si="8"/>
        <v>108000</v>
      </c>
    </row>
    <row r="74" spans="1:15" s="395" customFormat="1" x14ac:dyDescent="0.2">
      <c r="A74" s="388" t="s">
        <v>1229</v>
      </c>
      <c r="B74" s="389"/>
      <c r="C74" s="390"/>
      <c r="D74" s="390"/>
      <c r="E74" s="391"/>
      <c r="F74" s="391"/>
      <c r="G74" s="391"/>
      <c r="H74" s="392"/>
      <c r="I74" s="393">
        <f>SUM(I75:I80)</f>
        <v>1525679</v>
      </c>
      <c r="J74" s="393">
        <f t="shared" ref="J74:O74" si="9">SUM(J75:J80)</f>
        <v>0</v>
      </c>
      <c r="K74" s="393">
        <f t="shared" si="9"/>
        <v>0</v>
      </c>
      <c r="L74" s="393">
        <f t="shared" si="9"/>
        <v>8407.5</v>
      </c>
      <c r="M74" s="393">
        <f t="shared" si="9"/>
        <v>8407.5</v>
      </c>
      <c r="N74" s="393">
        <f t="shared" si="9"/>
        <v>0</v>
      </c>
      <c r="O74" s="394">
        <f t="shared" si="9"/>
        <v>1508864</v>
      </c>
    </row>
    <row r="75" spans="1:15" s="353" customFormat="1" ht="150" x14ac:dyDescent="0.2">
      <c r="A75" s="346">
        <v>1</v>
      </c>
      <c r="B75" s="347" t="s">
        <v>2026</v>
      </c>
      <c r="C75" s="396" t="s">
        <v>2027</v>
      </c>
      <c r="D75" s="396" t="s">
        <v>2028</v>
      </c>
      <c r="E75" s="350" t="s">
        <v>1885</v>
      </c>
      <c r="F75" s="350" t="s">
        <v>1229</v>
      </c>
      <c r="G75" s="350" t="s">
        <v>930</v>
      </c>
      <c r="H75" s="351" t="s">
        <v>2349</v>
      </c>
      <c r="I75" s="397">
        <f>142948+302500</f>
        <v>445448</v>
      </c>
      <c r="J75" s="397">
        <v>0</v>
      </c>
      <c r="K75" s="397">
        <v>0</v>
      </c>
      <c r="L75" s="397">
        <v>0</v>
      </c>
      <c r="M75" s="397">
        <v>0</v>
      </c>
      <c r="N75" s="398" t="s">
        <v>1786</v>
      </c>
      <c r="O75" s="352">
        <f t="shared" ref="O75:O80" si="10">+I75-(J75+K75+L75+M75)</f>
        <v>445448</v>
      </c>
    </row>
    <row r="76" spans="1:15" s="353" customFormat="1" ht="168.75" x14ac:dyDescent="0.2">
      <c r="A76" s="346">
        <v>2</v>
      </c>
      <c r="B76" s="347" t="s">
        <v>2026</v>
      </c>
      <c r="C76" s="396" t="s">
        <v>2027</v>
      </c>
      <c r="D76" s="396" t="s">
        <v>2028</v>
      </c>
      <c r="E76" s="350" t="s">
        <v>1886</v>
      </c>
      <c r="F76" s="350" t="s">
        <v>1229</v>
      </c>
      <c r="G76" s="350" t="s">
        <v>930</v>
      </c>
      <c r="H76" s="351" t="s">
        <v>2350</v>
      </c>
      <c r="I76" s="397">
        <f>168710+302800</f>
        <v>471510</v>
      </c>
      <c r="J76" s="397">
        <v>0</v>
      </c>
      <c r="K76" s="397">
        <v>0</v>
      </c>
      <c r="L76" s="397">
        <v>0</v>
      </c>
      <c r="M76" s="397">
        <v>0</v>
      </c>
      <c r="N76" s="398" t="s">
        <v>1786</v>
      </c>
      <c r="O76" s="352">
        <f t="shared" si="10"/>
        <v>471510</v>
      </c>
    </row>
    <row r="77" spans="1:15" s="353" customFormat="1" ht="150" x14ac:dyDescent="0.2">
      <c r="A77" s="346">
        <v>3</v>
      </c>
      <c r="B77" s="347" t="s">
        <v>2064</v>
      </c>
      <c r="C77" s="396" t="s">
        <v>2065</v>
      </c>
      <c r="D77" s="396" t="s">
        <v>2066</v>
      </c>
      <c r="E77" s="350" t="s">
        <v>1228</v>
      </c>
      <c r="F77" s="350" t="s">
        <v>1229</v>
      </c>
      <c r="G77" s="350" t="s">
        <v>1079</v>
      </c>
      <c r="H77" s="351" t="s">
        <v>2351</v>
      </c>
      <c r="I77" s="397">
        <v>232800</v>
      </c>
      <c r="J77" s="397">
        <v>0</v>
      </c>
      <c r="K77" s="397">
        <v>0</v>
      </c>
      <c r="L77" s="397">
        <v>0</v>
      </c>
      <c r="M77" s="397">
        <v>0</v>
      </c>
      <c r="N77" s="398" t="s">
        <v>1893</v>
      </c>
      <c r="O77" s="352">
        <f t="shared" si="10"/>
        <v>232800</v>
      </c>
    </row>
    <row r="78" spans="1:15" s="353" customFormat="1" ht="93.75" x14ac:dyDescent="0.2">
      <c r="A78" s="346">
        <v>4</v>
      </c>
      <c r="B78" s="347" t="s">
        <v>2069</v>
      </c>
      <c r="C78" s="396" t="s">
        <v>2070</v>
      </c>
      <c r="D78" s="396" t="s">
        <v>2071</v>
      </c>
      <c r="E78" s="350" t="s">
        <v>1885</v>
      </c>
      <c r="F78" s="350" t="s">
        <v>1229</v>
      </c>
      <c r="G78" s="350" t="s">
        <v>1198</v>
      </c>
      <c r="H78" s="351" t="s">
        <v>2352</v>
      </c>
      <c r="I78" s="397">
        <v>168150</v>
      </c>
      <c r="J78" s="397">
        <v>0</v>
      </c>
      <c r="K78" s="397">
        <v>0</v>
      </c>
      <c r="L78" s="397">
        <v>8407.5</v>
      </c>
      <c r="M78" s="397">
        <v>8407.5</v>
      </c>
      <c r="N78" s="398"/>
      <c r="O78" s="352">
        <f t="shared" si="10"/>
        <v>151335</v>
      </c>
    </row>
    <row r="79" spans="1:15" s="353" customFormat="1" ht="150" x14ac:dyDescent="0.2">
      <c r="A79" s="346">
        <v>5</v>
      </c>
      <c r="B79" s="347" t="s">
        <v>2166</v>
      </c>
      <c r="C79" s="396" t="s">
        <v>2167</v>
      </c>
      <c r="D79" s="396" t="s">
        <v>2168</v>
      </c>
      <c r="E79" s="350" t="s">
        <v>1885</v>
      </c>
      <c r="F79" s="350" t="s">
        <v>1229</v>
      </c>
      <c r="G79" s="350" t="s">
        <v>2154</v>
      </c>
      <c r="H79" s="351" t="s">
        <v>2353</v>
      </c>
      <c r="I79" s="397">
        <v>95298</v>
      </c>
      <c r="J79" s="397">
        <v>0</v>
      </c>
      <c r="K79" s="397">
        <v>0</v>
      </c>
      <c r="L79" s="397">
        <v>0</v>
      </c>
      <c r="M79" s="397">
        <v>0</v>
      </c>
      <c r="N79" s="398" t="s">
        <v>1786</v>
      </c>
      <c r="O79" s="352">
        <f t="shared" si="10"/>
        <v>95298</v>
      </c>
    </row>
    <row r="80" spans="1:15" s="353" customFormat="1" ht="168.75" x14ac:dyDescent="0.2">
      <c r="A80" s="346">
        <v>6</v>
      </c>
      <c r="B80" s="347" t="s">
        <v>2166</v>
      </c>
      <c r="C80" s="396" t="s">
        <v>2167</v>
      </c>
      <c r="D80" s="396" t="s">
        <v>2168</v>
      </c>
      <c r="E80" s="350" t="s">
        <v>1886</v>
      </c>
      <c r="F80" s="350" t="s">
        <v>1229</v>
      </c>
      <c r="G80" s="350" t="s">
        <v>2154</v>
      </c>
      <c r="H80" s="351" t="s">
        <v>2354</v>
      </c>
      <c r="I80" s="397">
        <v>112473</v>
      </c>
      <c r="J80" s="397">
        <v>0</v>
      </c>
      <c r="K80" s="397">
        <v>0</v>
      </c>
      <c r="L80" s="397">
        <v>0</v>
      </c>
      <c r="M80" s="397">
        <v>0</v>
      </c>
      <c r="N80" s="398" t="s">
        <v>1786</v>
      </c>
      <c r="O80" s="352">
        <f t="shared" si="10"/>
        <v>112473</v>
      </c>
    </row>
    <row r="81" spans="1:15" s="395" customFormat="1" x14ac:dyDescent="0.2">
      <c r="A81" s="388" t="s">
        <v>308</v>
      </c>
      <c r="B81" s="389"/>
      <c r="C81" s="390"/>
      <c r="D81" s="390"/>
      <c r="E81" s="391"/>
      <c r="F81" s="391"/>
      <c r="G81" s="391"/>
      <c r="H81" s="392"/>
      <c r="I81" s="393">
        <f>SUM(I82:I84)</f>
        <v>662200</v>
      </c>
      <c r="J81" s="393">
        <f t="shared" ref="J81:O81" si="11">SUM(J82:J84)</f>
        <v>0</v>
      </c>
      <c r="K81" s="393">
        <f t="shared" si="11"/>
        <v>0</v>
      </c>
      <c r="L81" s="393">
        <f t="shared" si="11"/>
        <v>4895</v>
      </c>
      <c r="M81" s="393">
        <f t="shared" si="11"/>
        <v>4895</v>
      </c>
      <c r="N81" s="393">
        <f t="shared" si="11"/>
        <v>0</v>
      </c>
      <c r="O81" s="394">
        <f t="shared" si="11"/>
        <v>652410</v>
      </c>
    </row>
    <row r="82" spans="1:15" s="353" customFormat="1" ht="225" x14ac:dyDescent="0.2">
      <c r="A82" s="346">
        <v>1</v>
      </c>
      <c r="B82" s="347" t="s">
        <v>2038</v>
      </c>
      <c r="C82" s="396" t="s">
        <v>2072</v>
      </c>
      <c r="D82" s="396" t="s">
        <v>2073</v>
      </c>
      <c r="E82" s="350" t="s">
        <v>1762</v>
      </c>
      <c r="F82" s="350" t="s">
        <v>308</v>
      </c>
      <c r="G82" s="350" t="s">
        <v>1763</v>
      </c>
      <c r="H82" s="351" t="s">
        <v>2355</v>
      </c>
      <c r="I82" s="397">
        <v>434300</v>
      </c>
      <c r="J82" s="397">
        <v>0</v>
      </c>
      <c r="K82" s="397">
        <v>0</v>
      </c>
      <c r="L82" s="397">
        <v>0</v>
      </c>
      <c r="M82" s="397">
        <v>0</v>
      </c>
      <c r="N82" s="398" t="s">
        <v>1742</v>
      </c>
      <c r="O82" s="352">
        <f>+I82-(J82+K82+L82+M82)</f>
        <v>434300</v>
      </c>
    </row>
    <row r="83" spans="1:15" s="353" customFormat="1" ht="93.75" x14ac:dyDescent="0.2">
      <c r="A83" s="346">
        <v>2</v>
      </c>
      <c r="B83" s="347" t="s">
        <v>2042</v>
      </c>
      <c r="C83" s="396" t="s">
        <v>2074</v>
      </c>
      <c r="D83" s="396" t="s">
        <v>2075</v>
      </c>
      <c r="E83" s="350" t="s">
        <v>1774</v>
      </c>
      <c r="F83" s="350" t="s">
        <v>308</v>
      </c>
      <c r="G83" s="350" t="s">
        <v>1198</v>
      </c>
      <c r="H83" s="351" t="s">
        <v>2356</v>
      </c>
      <c r="I83" s="397">
        <v>201400</v>
      </c>
      <c r="J83" s="397">
        <v>0</v>
      </c>
      <c r="K83" s="397">
        <v>0</v>
      </c>
      <c r="L83" s="397">
        <v>4895</v>
      </c>
      <c r="M83" s="397">
        <v>4895</v>
      </c>
      <c r="N83" s="398"/>
      <c r="O83" s="352">
        <f>+I83-(J83+K83+L83+M83)</f>
        <v>191610</v>
      </c>
    </row>
    <row r="84" spans="1:15" s="353" customFormat="1" ht="93.75" x14ac:dyDescent="0.2">
      <c r="A84" s="346">
        <v>3</v>
      </c>
      <c r="B84" s="347" t="s">
        <v>2337</v>
      </c>
      <c r="C84" s="396" t="s">
        <v>2357</v>
      </c>
      <c r="D84" s="396" t="s">
        <v>2358</v>
      </c>
      <c r="E84" s="350" t="s">
        <v>1774</v>
      </c>
      <c r="F84" s="350" t="s">
        <v>308</v>
      </c>
      <c r="G84" s="350" t="s">
        <v>1198</v>
      </c>
      <c r="H84" s="351" t="s">
        <v>2359</v>
      </c>
      <c r="I84" s="397">
        <v>26500</v>
      </c>
      <c r="J84" s="397">
        <v>0</v>
      </c>
      <c r="K84" s="397">
        <v>0</v>
      </c>
      <c r="L84" s="397">
        <v>0</v>
      </c>
      <c r="M84" s="397">
        <v>0</v>
      </c>
      <c r="N84" s="398" t="s">
        <v>1631</v>
      </c>
      <c r="O84" s="352">
        <f>+I84-(SUM(J84:N84))</f>
        <v>26500</v>
      </c>
    </row>
    <row r="85" spans="1:15" s="395" customFormat="1" x14ac:dyDescent="0.2">
      <c r="A85" s="388" t="s">
        <v>19</v>
      </c>
      <c r="B85" s="389"/>
      <c r="C85" s="390"/>
      <c r="D85" s="390"/>
      <c r="E85" s="391"/>
      <c r="F85" s="391"/>
      <c r="G85" s="391"/>
      <c r="H85" s="392"/>
      <c r="I85" s="393">
        <f>SUM(I86:I94)</f>
        <v>2444000</v>
      </c>
      <c r="J85" s="393">
        <f t="shared" ref="J85:O85" si="12">SUM(J86:J94)</f>
        <v>24200</v>
      </c>
      <c r="K85" s="393">
        <f t="shared" si="12"/>
        <v>24200</v>
      </c>
      <c r="L85" s="393">
        <f t="shared" si="12"/>
        <v>8550</v>
      </c>
      <c r="M85" s="393">
        <f t="shared" si="12"/>
        <v>8550</v>
      </c>
      <c r="N85" s="393">
        <f t="shared" si="12"/>
        <v>0</v>
      </c>
      <c r="O85" s="394">
        <f t="shared" si="12"/>
        <v>2378500</v>
      </c>
    </row>
    <row r="86" spans="1:15" s="353" customFormat="1" ht="131.25" x14ac:dyDescent="0.2">
      <c r="A86" s="346">
        <v>1</v>
      </c>
      <c r="B86" s="347" t="s">
        <v>2076</v>
      </c>
      <c r="C86" s="396" t="s">
        <v>2077</v>
      </c>
      <c r="D86" s="396" t="s">
        <v>2078</v>
      </c>
      <c r="E86" s="350" t="s">
        <v>199</v>
      </c>
      <c r="F86" s="350" t="s">
        <v>19</v>
      </c>
      <c r="G86" s="350" t="s">
        <v>1752</v>
      </c>
      <c r="H86" s="351" t="s">
        <v>2360</v>
      </c>
      <c r="I86" s="397">
        <v>45000</v>
      </c>
      <c r="J86" s="397">
        <v>3600</v>
      </c>
      <c r="K86" s="397">
        <v>3600</v>
      </c>
      <c r="L86" s="397">
        <v>0</v>
      </c>
      <c r="M86" s="397">
        <v>0</v>
      </c>
      <c r="N86" s="397"/>
      <c r="O86" s="352">
        <f>+I86-(J86+K86+L86+M86+N86)</f>
        <v>37800</v>
      </c>
    </row>
    <row r="87" spans="1:15" s="353" customFormat="1" ht="131.25" x14ac:dyDescent="0.2">
      <c r="A87" s="346">
        <v>2</v>
      </c>
      <c r="B87" s="347" t="s">
        <v>2076</v>
      </c>
      <c r="C87" s="396" t="s">
        <v>2079</v>
      </c>
      <c r="D87" s="396" t="s">
        <v>2078</v>
      </c>
      <c r="E87" s="350" t="s">
        <v>199</v>
      </c>
      <c r="F87" s="350" t="s">
        <v>19</v>
      </c>
      <c r="G87" s="350" t="s">
        <v>1752</v>
      </c>
      <c r="H87" s="351" t="s">
        <v>2361</v>
      </c>
      <c r="I87" s="397">
        <v>45000</v>
      </c>
      <c r="J87" s="397">
        <v>3600</v>
      </c>
      <c r="K87" s="397">
        <v>3600</v>
      </c>
      <c r="L87" s="397">
        <v>0</v>
      </c>
      <c r="M87" s="397">
        <v>0</v>
      </c>
      <c r="N87" s="397"/>
      <c r="O87" s="352">
        <f>+I87-(J87+K87+L87+M87+N87)</f>
        <v>37800</v>
      </c>
    </row>
    <row r="88" spans="1:15" s="353" customFormat="1" ht="112.5" x14ac:dyDescent="0.2">
      <c r="A88" s="346">
        <v>3</v>
      </c>
      <c r="B88" s="347" t="s">
        <v>2127</v>
      </c>
      <c r="C88" s="396" t="s">
        <v>2136</v>
      </c>
      <c r="D88" s="396" t="s">
        <v>2137</v>
      </c>
      <c r="E88" s="350" t="s">
        <v>2138</v>
      </c>
      <c r="F88" s="350" t="s">
        <v>19</v>
      </c>
      <c r="G88" s="350" t="s">
        <v>1198</v>
      </c>
      <c r="H88" s="351" t="s">
        <v>2362</v>
      </c>
      <c r="I88" s="397">
        <v>171000</v>
      </c>
      <c r="J88" s="397">
        <v>0</v>
      </c>
      <c r="K88" s="397">
        <v>0</v>
      </c>
      <c r="L88" s="397">
        <v>8550</v>
      </c>
      <c r="M88" s="397">
        <v>8550</v>
      </c>
      <c r="N88" s="398"/>
      <c r="O88" s="352">
        <f>+I88-(J88+K88+L88+M88)</f>
        <v>153900</v>
      </c>
    </row>
    <row r="89" spans="1:15" s="353" customFormat="1" ht="225" x14ac:dyDescent="0.2">
      <c r="A89" s="346">
        <v>4</v>
      </c>
      <c r="B89" s="347" t="s">
        <v>2191</v>
      </c>
      <c r="C89" s="396" t="s">
        <v>2192</v>
      </c>
      <c r="D89" s="396" t="s">
        <v>2193</v>
      </c>
      <c r="E89" s="350" t="s">
        <v>2194</v>
      </c>
      <c r="F89" s="350" t="s">
        <v>19</v>
      </c>
      <c r="G89" s="350" t="s">
        <v>2195</v>
      </c>
      <c r="H89" s="351" t="s">
        <v>2363</v>
      </c>
      <c r="I89" s="397">
        <v>204000</v>
      </c>
      <c r="J89" s="397">
        <v>10200</v>
      </c>
      <c r="K89" s="397">
        <v>10200</v>
      </c>
      <c r="L89" s="397">
        <v>0</v>
      </c>
      <c r="M89" s="397">
        <v>0</v>
      </c>
      <c r="N89" s="398"/>
      <c r="O89" s="352">
        <f>+I89-(J89+K89+L89+M89)</f>
        <v>183600</v>
      </c>
    </row>
    <row r="90" spans="1:15" s="353" customFormat="1" ht="131.25" x14ac:dyDescent="0.2">
      <c r="A90" s="346">
        <v>5</v>
      </c>
      <c r="B90" s="347" t="s">
        <v>2184</v>
      </c>
      <c r="C90" s="396" t="s">
        <v>2196</v>
      </c>
      <c r="D90" s="396" t="s">
        <v>2197</v>
      </c>
      <c r="E90" s="350" t="s">
        <v>2138</v>
      </c>
      <c r="F90" s="350" t="s">
        <v>19</v>
      </c>
      <c r="G90" s="350" t="s">
        <v>1763</v>
      </c>
      <c r="H90" s="351" t="s">
        <v>2364</v>
      </c>
      <c r="I90" s="397">
        <v>450000</v>
      </c>
      <c r="J90" s="397">
        <v>0</v>
      </c>
      <c r="K90" s="397">
        <v>0</v>
      </c>
      <c r="L90" s="397">
        <v>0</v>
      </c>
      <c r="M90" s="397">
        <v>0</v>
      </c>
      <c r="N90" s="398" t="s">
        <v>1786</v>
      </c>
      <c r="O90" s="352">
        <f>+I90-(SUM(J90:N90))</f>
        <v>450000</v>
      </c>
    </row>
    <row r="91" spans="1:15" s="353" customFormat="1" ht="225" x14ac:dyDescent="0.2">
      <c r="A91" s="346">
        <v>6</v>
      </c>
      <c r="B91" s="347" t="s">
        <v>2184</v>
      </c>
      <c r="C91" s="396" t="s">
        <v>2196</v>
      </c>
      <c r="D91" s="396" t="s">
        <v>2197</v>
      </c>
      <c r="E91" s="350" t="s">
        <v>2138</v>
      </c>
      <c r="F91" s="350" t="s">
        <v>19</v>
      </c>
      <c r="G91" s="350" t="s">
        <v>1763</v>
      </c>
      <c r="H91" s="351" t="s">
        <v>2365</v>
      </c>
      <c r="I91" s="397">
        <v>672000</v>
      </c>
      <c r="J91" s="397">
        <v>0</v>
      </c>
      <c r="K91" s="397">
        <v>0</v>
      </c>
      <c r="L91" s="397">
        <v>0</v>
      </c>
      <c r="M91" s="397">
        <v>0</v>
      </c>
      <c r="N91" s="398" t="s">
        <v>1786</v>
      </c>
      <c r="O91" s="352">
        <f>+I91-(SUM(J91:N91))</f>
        <v>672000</v>
      </c>
    </row>
    <row r="92" spans="1:15" s="353" customFormat="1" ht="187.5" x14ac:dyDescent="0.2">
      <c r="A92" s="346">
        <v>7</v>
      </c>
      <c r="B92" s="347" t="s">
        <v>2184</v>
      </c>
      <c r="C92" s="396" t="s">
        <v>2196</v>
      </c>
      <c r="D92" s="396" t="s">
        <v>2197</v>
      </c>
      <c r="E92" s="350" t="s">
        <v>2198</v>
      </c>
      <c r="F92" s="350" t="s">
        <v>19</v>
      </c>
      <c r="G92" s="350" t="s">
        <v>1763</v>
      </c>
      <c r="H92" s="351" t="s">
        <v>2366</v>
      </c>
      <c r="I92" s="397">
        <v>672000</v>
      </c>
      <c r="J92" s="397">
        <v>0</v>
      </c>
      <c r="K92" s="397">
        <v>0</v>
      </c>
      <c r="L92" s="397">
        <v>0</v>
      </c>
      <c r="M92" s="397">
        <v>0</v>
      </c>
      <c r="N92" s="398" t="s">
        <v>1786</v>
      </c>
      <c r="O92" s="352">
        <f>+I92-(SUM(J92:N92))</f>
        <v>672000</v>
      </c>
    </row>
    <row r="93" spans="1:15" s="353" customFormat="1" ht="187.5" x14ac:dyDescent="0.2">
      <c r="A93" s="346">
        <v>8</v>
      </c>
      <c r="B93" s="347" t="s">
        <v>2236</v>
      </c>
      <c r="C93" s="396" t="s">
        <v>2237</v>
      </c>
      <c r="D93" s="396" t="s">
        <v>2238</v>
      </c>
      <c r="E93" s="350" t="s">
        <v>1202</v>
      </c>
      <c r="F93" s="350" t="s">
        <v>19</v>
      </c>
      <c r="G93" s="350" t="s">
        <v>1799</v>
      </c>
      <c r="H93" s="351" t="s">
        <v>2367</v>
      </c>
      <c r="I93" s="397">
        <v>49000</v>
      </c>
      <c r="J93" s="397">
        <v>0</v>
      </c>
      <c r="K93" s="397">
        <v>0</v>
      </c>
      <c r="L93" s="397">
        <v>0</v>
      </c>
      <c r="M93" s="397">
        <v>0</v>
      </c>
      <c r="N93" s="398" t="s">
        <v>1837</v>
      </c>
      <c r="O93" s="352">
        <f>+I93-(SUM(J93:N93))</f>
        <v>49000</v>
      </c>
    </row>
    <row r="94" spans="1:15" s="353" customFormat="1" ht="225" x14ac:dyDescent="0.2">
      <c r="A94" s="346">
        <v>9</v>
      </c>
      <c r="B94" s="347" t="s">
        <v>2270</v>
      </c>
      <c r="C94" s="396" t="s">
        <v>2368</v>
      </c>
      <c r="D94" s="396" t="s">
        <v>2369</v>
      </c>
      <c r="E94" s="350" t="s">
        <v>2194</v>
      </c>
      <c r="F94" s="350" t="s">
        <v>19</v>
      </c>
      <c r="G94" s="350" t="s">
        <v>2195</v>
      </c>
      <c r="H94" s="351" t="s">
        <v>2370</v>
      </c>
      <c r="I94" s="397">
        <v>136000</v>
      </c>
      <c r="J94" s="397">
        <v>6800</v>
      </c>
      <c r="K94" s="397">
        <v>6800</v>
      </c>
      <c r="L94" s="397">
        <v>0</v>
      </c>
      <c r="M94" s="397">
        <v>0</v>
      </c>
      <c r="N94" s="398">
        <v>0</v>
      </c>
      <c r="O94" s="352">
        <f>+I94-(SUM(J94:N94))</f>
        <v>122400</v>
      </c>
    </row>
    <row r="95" spans="1:15" s="395" customFormat="1" x14ac:dyDescent="0.2">
      <c r="A95" s="388" t="s">
        <v>1067</v>
      </c>
      <c r="B95" s="389"/>
      <c r="C95" s="390"/>
      <c r="D95" s="390"/>
      <c r="E95" s="391"/>
      <c r="F95" s="391"/>
      <c r="G95" s="391"/>
      <c r="H95" s="392"/>
      <c r="I95" s="393">
        <f>SUM(I96:I115)</f>
        <v>4988510</v>
      </c>
      <c r="J95" s="393">
        <f t="shared" ref="J95:O95" si="13">SUM(J96:J115)</f>
        <v>247370</v>
      </c>
      <c r="K95" s="393">
        <f t="shared" si="13"/>
        <v>247370</v>
      </c>
      <c r="L95" s="393">
        <f t="shared" si="13"/>
        <v>5700</v>
      </c>
      <c r="M95" s="393">
        <f t="shared" si="13"/>
        <v>5700</v>
      </c>
      <c r="N95" s="393">
        <f t="shared" si="13"/>
        <v>0</v>
      </c>
      <c r="O95" s="394">
        <f t="shared" si="13"/>
        <v>4482370</v>
      </c>
    </row>
    <row r="96" spans="1:15" s="353" customFormat="1" ht="93.75" x14ac:dyDescent="0.2">
      <c r="A96" s="346">
        <v>1</v>
      </c>
      <c r="B96" s="347" t="s">
        <v>2080</v>
      </c>
      <c r="C96" s="396" t="s">
        <v>2081</v>
      </c>
      <c r="D96" s="396" t="s">
        <v>2082</v>
      </c>
      <c r="E96" s="350" t="s">
        <v>115</v>
      </c>
      <c r="F96" s="350" t="s">
        <v>117</v>
      </c>
      <c r="G96" s="350" t="s">
        <v>289</v>
      </c>
      <c r="H96" s="351" t="s">
        <v>1766</v>
      </c>
      <c r="I96" s="397">
        <v>85000</v>
      </c>
      <c r="J96" s="397">
        <v>6800</v>
      </c>
      <c r="K96" s="397">
        <v>6800</v>
      </c>
      <c r="L96" s="397">
        <v>0</v>
      </c>
      <c r="M96" s="397">
        <v>0</v>
      </c>
      <c r="N96" s="397"/>
      <c r="O96" s="352">
        <f>+I96-(J96+K96+L96+M96+N96)</f>
        <v>71400</v>
      </c>
    </row>
    <row r="97" spans="1:15" s="353" customFormat="1" ht="112.5" x14ac:dyDescent="0.2">
      <c r="A97" s="346">
        <v>2</v>
      </c>
      <c r="B97" s="347" t="s">
        <v>2083</v>
      </c>
      <c r="C97" s="396" t="s">
        <v>2084</v>
      </c>
      <c r="D97" s="396" t="s">
        <v>2085</v>
      </c>
      <c r="E97" s="350" t="s">
        <v>302</v>
      </c>
      <c r="F97" s="350" t="s">
        <v>117</v>
      </c>
      <c r="G97" s="350" t="s">
        <v>444</v>
      </c>
      <c r="H97" s="351" t="s">
        <v>2086</v>
      </c>
      <c r="I97" s="397">
        <f>30000+60000</f>
        <v>90000</v>
      </c>
      <c r="J97" s="397">
        <v>7200</v>
      </c>
      <c r="K97" s="397">
        <v>7200</v>
      </c>
      <c r="L97" s="397">
        <v>0</v>
      </c>
      <c r="M97" s="397">
        <v>0</v>
      </c>
      <c r="N97" s="397"/>
      <c r="O97" s="352">
        <f>+I97-(J97+K97+L97+M97+N97)</f>
        <v>75600</v>
      </c>
    </row>
    <row r="98" spans="1:15" s="353" customFormat="1" ht="150" x14ac:dyDescent="0.2">
      <c r="A98" s="346">
        <v>3</v>
      </c>
      <c r="B98" s="347" t="s">
        <v>2083</v>
      </c>
      <c r="C98" s="396" t="s">
        <v>2087</v>
      </c>
      <c r="D98" s="396" t="s">
        <v>2088</v>
      </c>
      <c r="E98" s="350" t="s">
        <v>115</v>
      </c>
      <c r="F98" s="350" t="s">
        <v>117</v>
      </c>
      <c r="G98" s="350" t="s">
        <v>318</v>
      </c>
      <c r="H98" s="351" t="s">
        <v>2371</v>
      </c>
      <c r="I98" s="397">
        <v>1250</v>
      </c>
      <c r="J98" s="397">
        <v>0</v>
      </c>
      <c r="K98" s="397">
        <v>0</v>
      </c>
      <c r="L98" s="397">
        <v>0</v>
      </c>
      <c r="M98" s="397">
        <v>0</v>
      </c>
      <c r="N98" s="398" t="s">
        <v>1631</v>
      </c>
      <c r="O98" s="352">
        <f>+I98-(J98+K98+L98+M98)</f>
        <v>1250</v>
      </c>
    </row>
    <row r="99" spans="1:15" s="353" customFormat="1" ht="93.75" x14ac:dyDescent="0.2">
      <c r="A99" s="346">
        <v>4</v>
      </c>
      <c r="B99" s="347" t="s">
        <v>2083</v>
      </c>
      <c r="C99" s="396" t="s">
        <v>2089</v>
      </c>
      <c r="D99" s="396" t="s">
        <v>2090</v>
      </c>
      <c r="E99" s="350" t="s">
        <v>115</v>
      </c>
      <c r="F99" s="350" t="s">
        <v>117</v>
      </c>
      <c r="G99" s="350" t="s">
        <v>941</v>
      </c>
      <c r="H99" s="351" t="s">
        <v>1766</v>
      </c>
      <c r="I99" s="397">
        <f>50000+178000</f>
        <v>228000</v>
      </c>
      <c r="J99" s="397">
        <v>18240</v>
      </c>
      <c r="K99" s="397">
        <v>18240</v>
      </c>
      <c r="L99" s="397">
        <v>0</v>
      </c>
      <c r="M99" s="397">
        <v>0</v>
      </c>
      <c r="N99" s="397"/>
      <c r="O99" s="352">
        <f>+I99-(J99+K99+L99+M99+N99)</f>
        <v>191520</v>
      </c>
    </row>
    <row r="100" spans="1:15" s="353" customFormat="1" ht="93.75" x14ac:dyDescent="0.2">
      <c r="A100" s="346">
        <v>5</v>
      </c>
      <c r="B100" s="347" t="s">
        <v>2091</v>
      </c>
      <c r="C100" s="396" t="s">
        <v>2092</v>
      </c>
      <c r="D100" s="396" t="s">
        <v>2093</v>
      </c>
      <c r="E100" s="350" t="s">
        <v>115</v>
      </c>
      <c r="F100" s="350" t="s">
        <v>117</v>
      </c>
      <c r="G100" s="350" t="s">
        <v>2094</v>
      </c>
      <c r="H100" s="351" t="s">
        <v>1766</v>
      </c>
      <c r="I100" s="397">
        <f>577000+69000</f>
        <v>646000</v>
      </c>
      <c r="J100" s="397">
        <v>51680</v>
      </c>
      <c r="K100" s="397">
        <v>51680</v>
      </c>
      <c r="L100" s="397">
        <v>0</v>
      </c>
      <c r="M100" s="397">
        <v>0</v>
      </c>
      <c r="N100" s="397"/>
      <c r="O100" s="352">
        <f>+I100-(J100+K100+L100+M100+N100)</f>
        <v>542640</v>
      </c>
    </row>
    <row r="101" spans="1:15" s="353" customFormat="1" ht="93.75" x14ac:dyDescent="0.2">
      <c r="A101" s="346">
        <v>6</v>
      </c>
      <c r="B101" s="347" t="s">
        <v>2095</v>
      </c>
      <c r="C101" s="396" t="s">
        <v>2096</v>
      </c>
      <c r="D101" s="396" t="s">
        <v>2097</v>
      </c>
      <c r="E101" s="350" t="s">
        <v>115</v>
      </c>
      <c r="F101" s="350" t="s">
        <v>117</v>
      </c>
      <c r="G101" s="350" t="s">
        <v>318</v>
      </c>
      <c r="H101" s="351" t="s">
        <v>1766</v>
      </c>
      <c r="I101" s="397">
        <v>19000</v>
      </c>
      <c r="J101" s="397">
        <v>1520</v>
      </c>
      <c r="K101" s="397">
        <v>1520</v>
      </c>
      <c r="L101" s="397">
        <v>0</v>
      </c>
      <c r="M101" s="397">
        <v>0</v>
      </c>
      <c r="N101" s="397"/>
      <c r="O101" s="352">
        <f>+I101-(J101+K101+L101+M101+N101)</f>
        <v>15960</v>
      </c>
    </row>
    <row r="102" spans="1:15" s="353" customFormat="1" ht="93.75" x14ac:dyDescent="0.2">
      <c r="A102" s="346">
        <v>7</v>
      </c>
      <c r="B102" s="347" t="s">
        <v>2098</v>
      </c>
      <c r="C102" s="396" t="s">
        <v>2099</v>
      </c>
      <c r="D102" s="396" t="s">
        <v>2100</v>
      </c>
      <c r="E102" s="350" t="s">
        <v>115</v>
      </c>
      <c r="F102" s="350" t="s">
        <v>117</v>
      </c>
      <c r="G102" s="350" t="s">
        <v>326</v>
      </c>
      <c r="H102" s="351" t="s">
        <v>1766</v>
      </c>
      <c r="I102" s="397">
        <f>25000+20000+19000+20000+40000</f>
        <v>124000</v>
      </c>
      <c r="J102" s="397">
        <v>9920</v>
      </c>
      <c r="K102" s="397">
        <v>9920</v>
      </c>
      <c r="L102" s="397">
        <v>0</v>
      </c>
      <c r="M102" s="397">
        <v>0</v>
      </c>
      <c r="N102" s="397"/>
      <c r="O102" s="352">
        <f>+I102-(J102+K102+L102+M102+N102)</f>
        <v>104160</v>
      </c>
    </row>
    <row r="103" spans="1:15" s="353" customFormat="1" ht="187.5" x14ac:dyDescent="0.2">
      <c r="A103" s="346">
        <v>8</v>
      </c>
      <c r="B103" s="347" t="s">
        <v>2057</v>
      </c>
      <c r="C103" s="396" t="s">
        <v>2058</v>
      </c>
      <c r="D103" s="396" t="s">
        <v>2059</v>
      </c>
      <c r="E103" s="350" t="s">
        <v>1785</v>
      </c>
      <c r="F103" s="350" t="s">
        <v>117</v>
      </c>
      <c r="G103" s="350" t="s">
        <v>930</v>
      </c>
      <c r="H103" s="351" t="s">
        <v>2372</v>
      </c>
      <c r="I103" s="397">
        <v>242860</v>
      </c>
      <c r="J103" s="397">
        <v>0</v>
      </c>
      <c r="K103" s="397">
        <v>0</v>
      </c>
      <c r="L103" s="397">
        <v>0</v>
      </c>
      <c r="M103" s="397">
        <v>0</v>
      </c>
      <c r="N103" s="398" t="s">
        <v>1786</v>
      </c>
      <c r="O103" s="352">
        <f t="shared" ref="O103:O108" si="14">+I103-(J103+K103+L103+M103)</f>
        <v>242860</v>
      </c>
    </row>
    <row r="104" spans="1:15" s="353" customFormat="1" ht="93.75" x14ac:dyDescent="0.2">
      <c r="A104" s="346">
        <v>9</v>
      </c>
      <c r="B104" s="347" t="s">
        <v>2035</v>
      </c>
      <c r="C104" s="396" t="s">
        <v>2101</v>
      </c>
      <c r="D104" s="396" t="s">
        <v>2102</v>
      </c>
      <c r="E104" s="350" t="s">
        <v>115</v>
      </c>
      <c r="F104" s="350" t="s">
        <v>117</v>
      </c>
      <c r="G104" s="350" t="s">
        <v>318</v>
      </c>
      <c r="H104" s="351" t="s">
        <v>1766</v>
      </c>
      <c r="I104" s="397">
        <v>17000</v>
      </c>
      <c r="J104" s="397">
        <v>1360</v>
      </c>
      <c r="K104" s="397">
        <v>1360</v>
      </c>
      <c r="L104" s="397">
        <v>0</v>
      </c>
      <c r="M104" s="397">
        <v>0</v>
      </c>
      <c r="N104" s="398"/>
      <c r="O104" s="352">
        <f t="shared" si="14"/>
        <v>14280</v>
      </c>
    </row>
    <row r="105" spans="1:15" s="353" customFormat="1" ht="168.75" x14ac:dyDescent="0.2">
      <c r="A105" s="346">
        <v>10</v>
      </c>
      <c r="B105" s="347" t="s">
        <v>2064</v>
      </c>
      <c r="C105" s="396" t="s">
        <v>2065</v>
      </c>
      <c r="D105" s="396" t="s">
        <v>2066</v>
      </c>
      <c r="E105" s="350" t="s">
        <v>1078</v>
      </c>
      <c r="F105" s="350" t="s">
        <v>1067</v>
      </c>
      <c r="G105" s="350" t="s">
        <v>1079</v>
      </c>
      <c r="H105" s="351" t="s">
        <v>2373</v>
      </c>
      <c r="I105" s="397">
        <v>240000</v>
      </c>
      <c r="J105" s="397">
        <v>0</v>
      </c>
      <c r="K105" s="397">
        <v>0</v>
      </c>
      <c r="L105" s="397">
        <v>0</v>
      </c>
      <c r="M105" s="397">
        <v>0</v>
      </c>
      <c r="N105" s="398" t="s">
        <v>1893</v>
      </c>
      <c r="O105" s="352">
        <f t="shared" si="14"/>
        <v>240000</v>
      </c>
    </row>
    <row r="106" spans="1:15" s="353" customFormat="1" ht="93.75" x14ac:dyDescent="0.2">
      <c r="A106" s="346">
        <v>11</v>
      </c>
      <c r="B106" s="347" t="s">
        <v>2127</v>
      </c>
      <c r="C106" s="396" t="s">
        <v>2143</v>
      </c>
      <c r="D106" s="396" t="s">
        <v>2144</v>
      </c>
      <c r="E106" s="350" t="s">
        <v>115</v>
      </c>
      <c r="F106" s="350" t="s">
        <v>117</v>
      </c>
      <c r="G106" s="350" t="s">
        <v>318</v>
      </c>
      <c r="H106" s="351" t="s">
        <v>1766</v>
      </c>
      <c r="I106" s="397">
        <v>20000</v>
      </c>
      <c r="J106" s="397">
        <v>1000</v>
      </c>
      <c r="K106" s="397">
        <v>1000</v>
      </c>
      <c r="L106" s="397">
        <v>0</v>
      </c>
      <c r="M106" s="397">
        <v>0</v>
      </c>
      <c r="N106" s="398"/>
      <c r="O106" s="352">
        <f t="shared" si="14"/>
        <v>18000</v>
      </c>
    </row>
    <row r="107" spans="1:15" s="353" customFormat="1" ht="93.75" x14ac:dyDescent="0.2">
      <c r="A107" s="346">
        <v>12</v>
      </c>
      <c r="B107" s="347" t="s">
        <v>2159</v>
      </c>
      <c r="C107" s="396" t="s">
        <v>2199</v>
      </c>
      <c r="D107" s="396" t="s">
        <v>2200</v>
      </c>
      <c r="E107" s="350" t="s">
        <v>2201</v>
      </c>
      <c r="F107" s="350" t="s">
        <v>117</v>
      </c>
      <c r="G107" s="350" t="s">
        <v>1198</v>
      </c>
      <c r="H107" s="351" t="s">
        <v>2374</v>
      </c>
      <c r="I107" s="397">
        <v>114000</v>
      </c>
      <c r="J107" s="397">
        <v>0</v>
      </c>
      <c r="K107" s="397">
        <v>0</v>
      </c>
      <c r="L107" s="397">
        <v>5700</v>
      </c>
      <c r="M107" s="397">
        <v>5700</v>
      </c>
      <c r="N107" s="398"/>
      <c r="O107" s="352">
        <f t="shared" si="14"/>
        <v>102600</v>
      </c>
    </row>
    <row r="108" spans="1:15" s="353" customFormat="1" ht="93.75" x14ac:dyDescent="0.2">
      <c r="A108" s="346">
        <v>13</v>
      </c>
      <c r="B108" s="347" t="s">
        <v>2202</v>
      </c>
      <c r="C108" s="396" t="s">
        <v>2203</v>
      </c>
      <c r="D108" s="396" t="s">
        <v>2204</v>
      </c>
      <c r="E108" s="350" t="s">
        <v>115</v>
      </c>
      <c r="F108" s="350" t="s">
        <v>117</v>
      </c>
      <c r="G108" s="350" t="s">
        <v>318</v>
      </c>
      <c r="H108" s="351" t="s">
        <v>1766</v>
      </c>
      <c r="I108" s="397">
        <v>20000</v>
      </c>
      <c r="J108" s="397">
        <v>1000</v>
      </c>
      <c r="K108" s="397">
        <v>1000</v>
      </c>
      <c r="L108" s="397">
        <v>0</v>
      </c>
      <c r="M108" s="397">
        <v>0</v>
      </c>
      <c r="N108" s="398"/>
      <c r="O108" s="352">
        <f t="shared" si="14"/>
        <v>18000</v>
      </c>
    </row>
    <row r="109" spans="1:15" s="353" customFormat="1" ht="150" x14ac:dyDescent="0.2">
      <c r="A109" s="346">
        <v>14</v>
      </c>
      <c r="B109" s="347" t="s">
        <v>2184</v>
      </c>
      <c r="C109" s="396" t="s">
        <v>2185</v>
      </c>
      <c r="D109" s="396" t="s">
        <v>2186</v>
      </c>
      <c r="E109" s="350" t="s">
        <v>2205</v>
      </c>
      <c r="F109" s="350" t="s">
        <v>117</v>
      </c>
      <c r="G109" s="350" t="s">
        <v>1763</v>
      </c>
      <c r="H109" s="351" t="s">
        <v>2375</v>
      </c>
      <c r="I109" s="397">
        <v>168400</v>
      </c>
      <c r="J109" s="397">
        <v>0</v>
      </c>
      <c r="K109" s="397">
        <v>0</v>
      </c>
      <c r="L109" s="397">
        <v>0</v>
      </c>
      <c r="M109" s="397">
        <v>0</v>
      </c>
      <c r="N109" s="398" t="s">
        <v>1786</v>
      </c>
      <c r="O109" s="352">
        <f t="shared" ref="O109:O115" si="15">+I109-(SUM(J109:N109))</f>
        <v>168400</v>
      </c>
    </row>
    <row r="110" spans="1:15" s="353" customFormat="1" ht="93.75" x14ac:dyDescent="0.2">
      <c r="A110" s="346">
        <v>15</v>
      </c>
      <c r="B110" s="347" t="s">
        <v>2243</v>
      </c>
      <c r="C110" s="396" t="s">
        <v>2250</v>
      </c>
      <c r="D110" s="396" t="s">
        <v>2251</v>
      </c>
      <c r="E110" s="350" t="s">
        <v>115</v>
      </c>
      <c r="F110" s="350" t="s">
        <v>117</v>
      </c>
      <c r="G110" s="350" t="s">
        <v>303</v>
      </c>
      <c r="H110" s="351" t="s">
        <v>1766</v>
      </c>
      <c r="I110" s="397">
        <v>45000</v>
      </c>
      <c r="J110" s="397">
        <v>2250</v>
      </c>
      <c r="K110" s="397">
        <v>2250</v>
      </c>
      <c r="L110" s="397">
        <v>0</v>
      </c>
      <c r="M110" s="397">
        <v>0</v>
      </c>
      <c r="N110" s="398"/>
      <c r="O110" s="352">
        <f t="shared" si="15"/>
        <v>40500</v>
      </c>
    </row>
    <row r="111" spans="1:15" s="353" customFormat="1" ht="93.75" x14ac:dyDescent="0.2">
      <c r="A111" s="346">
        <v>16</v>
      </c>
      <c r="B111" s="347" t="s">
        <v>2376</v>
      </c>
      <c r="C111" s="396" t="s">
        <v>2377</v>
      </c>
      <c r="D111" s="396" t="s">
        <v>2378</v>
      </c>
      <c r="E111" s="350" t="s">
        <v>115</v>
      </c>
      <c r="F111" s="350" t="s">
        <v>117</v>
      </c>
      <c r="G111" s="350" t="s">
        <v>2379</v>
      </c>
      <c r="H111" s="351" t="s">
        <v>1766</v>
      </c>
      <c r="I111" s="397">
        <v>20000</v>
      </c>
      <c r="J111" s="397">
        <v>1000</v>
      </c>
      <c r="K111" s="397">
        <v>1000</v>
      </c>
      <c r="L111" s="397">
        <v>0</v>
      </c>
      <c r="M111" s="397">
        <v>0</v>
      </c>
      <c r="N111" s="398">
        <v>0</v>
      </c>
      <c r="O111" s="352">
        <f t="shared" si="15"/>
        <v>18000</v>
      </c>
    </row>
    <row r="112" spans="1:15" s="353" customFormat="1" ht="93.75" x14ac:dyDescent="0.2">
      <c r="A112" s="346">
        <v>17</v>
      </c>
      <c r="B112" s="347" t="s">
        <v>2270</v>
      </c>
      <c r="C112" s="396" t="s">
        <v>2380</v>
      </c>
      <c r="D112" s="396" t="s">
        <v>2381</v>
      </c>
      <c r="E112" s="350" t="s">
        <v>115</v>
      </c>
      <c r="F112" s="350" t="s">
        <v>117</v>
      </c>
      <c r="G112" s="350" t="s">
        <v>554</v>
      </c>
      <c r="H112" s="351" t="s">
        <v>1766</v>
      </c>
      <c r="I112" s="397">
        <v>476000</v>
      </c>
      <c r="J112" s="397">
        <v>23800</v>
      </c>
      <c r="K112" s="397">
        <v>23800</v>
      </c>
      <c r="L112" s="397">
        <v>0</v>
      </c>
      <c r="M112" s="397">
        <v>0</v>
      </c>
      <c r="N112" s="398">
        <v>0</v>
      </c>
      <c r="O112" s="352">
        <f t="shared" si="15"/>
        <v>428400</v>
      </c>
    </row>
    <row r="113" spans="1:16" s="353" customFormat="1" ht="112.5" x14ac:dyDescent="0.2">
      <c r="A113" s="346">
        <v>18</v>
      </c>
      <c r="B113" s="347" t="s">
        <v>2270</v>
      </c>
      <c r="C113" s="396" t="s">
        <v>2382</v>
      </c>
      <c r="D113" s="396" t="s">
        <v>2383</v>
      </c>
      <c r="E113" s="350" t="s">
        <v>302</v>
      </c>
      <c r="F113" s="350" t="s">
        <v>117</v>
      </c>
      <c r="G113" s="350" t="s">
        <v>318</v>
      </c>
      <c r="H113" s="351" t="s">
        <v>2384</v>
      </c>
      <c r="I113" s="397">
        <v>25000</v>
      </c>
      <c r="J113" s="397">
        <v>1250</v>
      </c>
      <c r="K113" s="397">
        <v>1250</v>
      </c>
      <c r="L113" s="397">
        <v>0</v>
      </c>
      <c r="M113" s="397">
        <v>0</v>
      </c>
      <c r="N113" s="398">
        <v>0</v>
      </c>
      <c r="O113" s="352">
        <f t="shared" si="15"/>
        <v>22500</v>
      </c>
    </row>
    <row r="114" spans="1:16" s="353" customFormat="1" ht="93.75" x14ac:dyDescent="0.2">
      <c r="A114" s="346">
        <v>19</v>
      </c>
      <c r="B114" s="347" t="s">
        <v>2270</v>
      </c>
      <c r="C114" s="396" t="s">
        <v>2385</v>
      </c>
      <c r="D114" s="396" t="s">
        <v>2386</v>
      </c>
      <c r="E114" s="350" t="s">
        <v>115</v>
      </c>
      <c r="F114" s="350" t="s">
        <v>117</v>
      </c>
      <c r="G114" s="350" t="s">
        <v>318</v>
      </c>
      <c r="H114" s="351" t="s">
        <v>1766</v>
      </c>
      <c r="I114" s="397">
        <v>20000</v>
      </c>
      <c r="J114" s="397">
        <v>1000</v>
      </c>
      <c r="K114" s="397">
        <v>1000</v>
      </c>
      <c r="L114" s="397">
        <v>0</v>
      </c>
      <c r="M114" s="397">
        <v>0</v>
      </c>
      <c r="N114" s="398">
        <v>0</v>
      </c>
      <c r="O114" s="352">
        <f t="shared" si="15"/>
        <v>18000</v>
      </c>
    </row>
    <row r="115" spans="1:16" s="353" customFormat="1" ht="93.75" x14ac:dyDescent="0.2">
      <c r="A115" s="346">
        <v>20</v>
      </c>
      <c r="B115" s="347" t="s">
        <v>2387</v>
      </c>
      <c r="C115" s="396" t="s">
        <v>1109</v>
      </c>
      <c r="D115" s="396" t="s">
        <v>2388</v>
      </c>
      <c r="E115" s="350" t="s">
        <v>115</v>
      </c>
      <c r="F115" s="350" t="s">
        <v>117</v>
      </c>
      <c r="G115" s="350" t="s">
        <v>2389</v>
      </c>
      <c r="H115" s="351" t="s">
        <v>1766</v>
      </c>
      <c r="I115" s="397">
        <v>2387000</v>
      </c>
      <c r="J115" s="397">
        <v>119350</v>
      </c>
      <c r="K115" s="397">
        <v>119350</v>
      </c>
      <c r="L115" s="397">
        <v>0</v>
      </c>
      <c r="M115" s="397">
        <v>0</v>
      </c>
      <c r="N115" s="398">
        <v>0</v>
      </c>
      <c r="O115" s="352">
        <f t="shared" si="15"/>
        <v>2148300</v>
      </c>
    </row>
    <row r="116" spans="1:16" s="395" customFormat="1" x14ac:dyDescent="0.2">
      <c r="A116" s="388" t="s">
        <v>2209</v>
      </c>
      <c r="B116" s="389"/>
      <c r="C116" s="390"/>
      <c r="D116" s="390"/>
      <c r="E116" s="391"/>
      <c r="F116" s="391"/>
      <c r="G116" s="391"/>
      <c r="H116" s="392"/>
      <c r="I116" s="393">
        <f>SUM(I117:I123)</f>
        <v>1822112.8199999998</v>
      </c>
      <c r="J116" s="393">
        <f t="shared" ref="J116:O116" si="16">SUM(J117:J123)</f>
        <v>0</v>
      </c>
      <c r="K116" s="393">
        <f t="shared" si="16"/>
        <v>0</v>
      </c>
      <c r="L116" s="393">
        <f t="shared" si="16"/>
        <v>51506.909999999996</v>
      </c>
      <c r="M116" s="393">
        <f t="shared" si="16"/>
        <v>51506.909999999996</v>
      </c>
      <c r="N116" s="393">
        <f t="shared" si="16"/>
        <v>0</v>
      </c>
      <c r="O116" s="394">
        <f t="shared" si="16"/>
        <v>1719099</v>
      </c>
    </row>
    <row r="117" spans="1:16" s="353" customFormat="1" ht="168.75" x14ac:dyDescent="0.2">
      <c r="A117" s="346">
        <v>1</v>
      </c>
      <c r="B117" s="347" t="s">
        <v>2103</v>
      </c>
      <c r="C117" s="396" t="s">
        <v>2104</v>
      </c>
      <c r="D117" s="396" t="s">
        <v>2105</v>
      </c>
      <c r="E117" s="350" t="s">
        <v>1704</v>
      </c>
      <c r="F117" s="350" t="s">
        <v>706</v>
      </c>
      <c r="G117" s="350" t="s">
        <v>309</v>
      </c>
      <c r="H117" s="351" t="s">
        <v>1705</v>
      </c>
      <c r="I117" s="397">
        <v>24897.119999999999</v>
      </c>
      <c r="J117" s="397">
        <v>0</v>
      </c>
      <c r="K117" s="397">
        <v>0</v>
      </c>
      <c r="L117" s="397">
        <v>12448.56</v>
      </c>
      <c r="M117" s="397">
        <v>12448.56</v>
      </c>
      <c r="N117" s="397"/>
      <c r="O117" s="352">
        <f>+I117-(J117+K117+L117+M117+N117)</f>
        <v>0</v>
      </c>
    </row>
    <row r="118" spans="1:16" s="353" customFormat="1" ht="206.25" x14ac:dyDescent="0.2">
      <c r="A118" s="346">
        <v>2</v>
      </c>
      <c r="B118" s="347" t="s">
        <v>2057</v>
      </c>
      <c r="C118" s="396" t="s">
        <v>2058</v>
      </c>
      <c r="D118" s="396" t="s">
        <v>2059</v>
      </c>
      <c r="E118" s="350" t="s">
        <v>705</v>
      </c>
      <c r="F118" s="350" t="s">
        <v>706</v>
      </c>
      <c r="G118" s="350" t="s">
        <v>930</v>
      </c>
      <c r="H118" s="351" t="s">
        <v>2390</v>
      </c>
      <c r="I118" s="397">
        <v>194645</v>
      </c>
      <c r="J118" s="397">
        <v>0</v>
      </c>
      <c r="K118" s="397">
        <v>0</v>
      </c>
      <c r="L118" s="397">
        <v>0</v>
      </c>
      <c r="M118" s="397">
        <v>0</v>
      </c>
      <c r="N118" s="398" t="s">
        <v>1786</v>
      </c>
      <c r="O118" s="352">
        <f t="shared" ref="O118:O123" si="17">+I118-(J118+K118+L118+M118)</f>
        <v>194645</v>
      </c>
    </row>
    <row r="119" spans="1:16" s="353" customFormat="1" ht="131.25" x14ac:dyDescent="0.2">
      <c r="A119" s="346">
        <v>3</v>
      </c>
      <c r="B119" s="347" t="s">
        <v>2106</v>
      </c>
      <c r="C119" s="396" t="s">
        <v>2107</v>
      </c>
      <c r="D119" s="396" t="s">
        <v>2108</v>
      </c>
      <c r="E119" s="350" t="s">
        <v>2109</v>
      </c>
      <c r="F119" s="350" t="s">
        <v>1567</v>
      </c>
      <c r="G119" s="350" t="s">
        <v>1568</v>
      </c>
      <c r="H119" s="351" t="s">
        <v>2391</v>
      </c>
      <c r="I119" s="397">
        <f>140001+489998</f>
        <v>629999</v>
      </c>
      <c r="J119" s="397">
        <v>0</v>
      </c>
      <c r="K119" s="397">
        <v>0</v>
      </c>
      <c r="L119" s="397">
        <v>15909</v>
      </c>
      <c r="M119" s="397">
        <v>15909</v>
      </c>
      <c r="N119" s="398"/>
      <c r="O119" s="352">
        <f t="shared" si="17"/>
        <v>598181</v>
      </c>
    </row>
    <row r="120" spans="1:16" s="353" customFormat="1" ht="243.75" x14ac:dyDescent="0.2">
      <c r="A120" s="346">
        <v>4</v>
      </c>
      <c r="B120" s="347" t="s">
        <v>2106</v>
      </c>
      <c r="C120" s="396" t="s">
        <v>2110</v>
      </c>
      <c r="D120" s="396" t="s">
        <v>2111</v>
      </c>
      <c r="E120" s="350" t="s">
        <v>1733</v>
      </c>
      <c r="F120" s="350" t="s">
        <v>706</v>
      </c>
      <c r="G120" s="350" t="s">
        <v>309</v>
      </c>
      <c r="H120" s="351" t="s">
        <v>1734</v>
      </c>
      <c r="I120" s="397">
        <v>14480.7</v>
      </c>
      <c r="J120" s="397">
        <v>0</v>
      </c>
      <c r="K120" s="397">
        <v>0</v>
      </c>
      <c r="L120" s="397">
        <v>7240.35</v>
      </c>
      <c r="M120" s="397">
        <v>7240.35</v>
      </c>
      <c r="N120" s="398"/>
      <c r="O120" s="352">
        <f t="shared" si="17"/>
        <v>0</v>
      </c>
    </row>
    <row r="121" spans="1:16" s="353" customFormat="1" ht="112.5" x14ac:dyDescent="0.2">
      <c r="A121" s="346">
        <v>5</v>
      </c>
      <c r="B121" s="347" t="s">
        <v>2184</v>
      </c>
      <c r="C121" s="396" t="s">
        <v>2185</v>
      </c>
      <c r="D121" s="396" t="s">
        <v>2186</v>
      </c>
      <c r="E121" s="350" t="s">
        <v>1733</v>
      </c>
      <c r="F121" s="350" t="s">
        <v>2209</v>
      </c>
      <c r="G121" s="350" t="s">
        <v>2154</v>
      </c>
      <c r="H121" s="351" t="s">
        <v>2392</v>
      </c>
      <c r="I121" s="397">
        <v>212591</v>
      </c>
      <c r="J121" s="397">
        <v>0</v>
      </c>
      <c r="K121" s="397">
        <v>0</v>
      </c>
      <c r="L121" s="397">
        <v>0</v>
      </c>
      <c r="M121" s="397">
        <v>0</v>
      </c>
      <c r="N121" s="398" t="s">
        <v>1786</v>
      </c>
      <c r="O121" s="352">
        <f t="shared" si="17"/>
        <v>212591</v>
      </c>
    </row>
    <row r="122" spans="1:16" s="353" customFormat="1" ht="187.5" x14ac:dyDescent="0.2">
      <c r="A122" s="346">
        <v>6</v>
      </c>
      <c r="B122" s="347" t="s">
        <v>2184</v>
      </c>
      <c r="C122" s="396" t="s">
        <v>2185</v>
      </c>
      <c r="D122" s="396" t="s">
        <v>2186</v>
      </c>
      <c r="E122" s="350" t="s">
        <v>1733</v>
      </c>
      <c r="F122" s="350" t="s">
        <v>2209</v>
      </c>
      <c r="G122" s="350" t="s">
        <v>2154</v>
      </c>
      <c r="H122" s="351" t="s">
        <v>2393</v>
      </c>
      <c r="I122" s="397">
        <v>675500</v>
      </c>
      <c r="J122" s="397">
        <v>0</v>
      </c>
      <c r="K122" s="397">
        <v>0</v>
      </c>
      <c r="L122" s="397">
        <v>0</v>
      </c>
      <c r="M122" s="397">
        <v>0</v>
      </c>
      <c r="N122" s="398" t="s">
        <v>1786</v>
      </c>
      <c r="O122" s="352">
        <f t="shared" si="17"/>
        <v>675500</v>
      </c>
    </row>
    <row r="123" spans="1:16" s="353" customFormat="1" ht="131.25" x14ac:dyDescent="0.2">
      <c r="A123" s="346">
        <v>7</v>
      </c>
      <c r="B123" s="347" t="s">
        <v>2252</v>
      </c>
      <c r="C123" s="396" t="s">
        <v>2253</v>
      </c>
      <c r="D123" s="396" t="s">
        <v>2254</v>
      </c>
      <c r="E123" s="350" t="s">
        <v>2109</v>
      </c>
      <c r="F123" s="350" t="s">
        <v>1567</v>
      </c>
      <c r="G123" s="350" t="s">
        <v>1568</v>
      </c>
      <c r="H123" s="351" t="s">
        <v>2394</v>
      </c>
      <c r="I123" s="397">
        <v>70000</v>
      </c>
      <c r="J123" s="397">
        <v>0</v>
      </c>
      <c r="K123" s="397">
        <v>0</v>
      </c>
      <c r="L123" s="397">
        <v>15909</v>
      </c>
      <c r="M123" s="397">
        <v>15909</v>
      </c>
      <c r="N123" s="398"/>
      <c r="O123" s="352">
        <f t="shared" si="17"/>
        <v>38182</v>
      </c>
    </row>
    <row r="124" spans="1:16" s="395" customFormat="1" x14ac:dyDescent="0.2">
      <c r="A124" s="388" t="s">
        <v>2263</v>
      </c>
      <c r="B124" s="389"/>
      <c r="C124" s="390"/>
      <c r="D124" s="390"/>
      <c r="E124" s="391"/>
      <c r="F124" s="391"/>
      <c r="G124" s="391"/>
      <c r="H124" s="392"/>
      <c r="I124" s="393">
        <f>SUM(I125:I130)</f>
        <v>7175934.3900000006</v>
      </c>
      <c r="J124" s="393">
        <f t="shared" ref="J124:O124" si="18">SUM(J125:J130)</f>
        <v>40000</v>
      </c>
      <c r="K124" s="393">
        <f t="shared" si="18"/>
        <v>40000</v>
      </c>
      <c r="L124" s="393">
        <f t="shared" si="18"/>
        <v>569500</v>
      </c>
      <c r="M124" s="393">
        <f t="shared" si="18"/>
        <v>569500</v>
      </c>
      <c r="N124" s="393">
        <f t="shared" si="18"/>
        <v>0</v>
      </c>
      <c r="O124" s="394">
        <f t="shared" si="18"/>
        <v>5956934.3900000006</v>
      </c>
    </row>
    <row r="125" spans="1:16" s="376" customFormat="1" ht="150" x14ac:dyDescent="0.2">
      <c r="A125" s="346">
        <v>1</v>
      </c>
      <c r="B125" s="347" t="s">
        <v>2103</v>
      </c>
      <c r="C125" s="396" t="s">
        <v>2118</v>
      </c>
      <c r="D125" s="396" t="s">
        <v>2119</v>
      </c>
      <c r="E125" s="350" t="s">
        <v>1877</v>
      </c>
      <c r="F125" s="350" t="s">
        <v>2395</v>
      </c>
      <c r="G125" s="350" t="s">
        <v>1665</v>
      </c>
      <c r="H125" s="351" t="s">
        <v>2396</v>
      </c>
      <c r="I125" s="397">
        <v>200000</v>
      </c>
      <c r="J125" s="397">
        <v>0</v>
      </c>
      <c r="K125" s="397">
        <v>0</v>
      </c>
      <c r="L125" s="397">
        <v>0</v>
      </c>
      <c r="M125" s="397">
        <v>0</v>
      </c>
      <c r="N125" s="398" t="s">
        <v>1786</v>
      </c>
      <c r="O125" s="352">
        <f t="shared" ref="O125:O130" si="19">+I125-(J125+K125+L125+M125)</f>
        <v>200000</v>
      </c>
      <c r="P125" s="353"/>
    </row>
    <row r="126" spans="1:16" s="376" customFormat="1" ht="150" x14ac:dyDescent="0.2">
      <c r="A126" s="346">
        <v>2</v>
      </c>
      <c r="B126" s="347" t="s">
        <v>2057</v>
      </c>
      <c r="C126" s="396" t="s">
        <v>2120</v>
      </c>
      <c r="D126" s="396" t="s">
        <v>2121</v>
      </c>
      <c r="E126" s="350" t="s">
        <v>1251</v>
      </c>
      <c r="F126" s="350" t="s">
        <v>1252</v>
      </c>
      <c r="G126" s="350" t="s">
        <v>1253</v>
      </c>
      <c r="H126" s="351" t="s">
        <v>2397</v>
      </c>
      <c r="I126" s="397">
        <v>970000</v>
      </c>
      <c r="J126" s="397">
        <v>0</v>
      </c>
      <c r="K126" s="397">
        <v>0</v>
      </c>
      <c r="L126" s="397">
        <v>350000</v>
      </c>
      <c r="M126" s="397">
        <v>350000</v>
      </c>
      <c r="N126" s="398"/>
      <c r="O126" s="352">
        <f t="shared" si="19"/>
        <v>270000</v>
      </c>
      <c r="P126" s="353"/>
    </row>
    <row r="127" spans="1:16" s="353" customFormat="1" ht="150" x14ac:dyDescent="0.2">
      <c r="A127" s="346">
        <v>3</v>
      </c>
      <c r="B127" s="347" t="s">
        <v>2122</v>
      </c>
      <c r="C127" s="396" t="s">
        <v>2123</v>
      </c>
      <c r="D127" s="396" t="s">
        <v>2124</v>
      </c>
      <c r="E127" s="350" t="s">
        <v>1877</v>
      </c>
      <c r="F127" s="350" t="s">
        <v>2395</v>
      </c>
      <c r="G127" s="350" t="s">
        <v>1665</v>
      </c>
      <c r="H127" s="351" t="s">
        <v>2398</v>
      </c>
      <c r="I127" s="397">
        <v>150000</v>
      </c>
      <c r="J127" s="397">
        <v>40000</v>
      </c>
      <c r="K127" s="397">
        <v>40000</v>
      </c>
      <c r="L127" s="397">
        <v>0</v>
      </c>
      <c r="M127" s="397">
        <v>0</v>
      </c>
      <c r="N127" s="398"/>
      <c r="O127" s="352">
        <f t="shared" si="19"/>
        <v>70000</v>
      </c>
    </row>
    <row r="128" spans="1:16" s="353" customFormat="1" ht="131.25" x14ac:dyDescent="0.2">
      <c r="A128" s="346">
        <v>4</v>
      </c>
      <c r="B128" s="347" t="s">
        <v>2019</v>
      </c>
      <c r="C128" s="396" t="s">
        <v>2020</v>
      </c>
      <c r="D128" s="396" t="s">
        <v>2021</v>
      </c>
      <c r="E128" s="350" t="s">
        <v>1251</v>
      </c>
      <c r="F128" s="350" t="s">
        <v>2395</v>
      </c>
      <c r="G128" s="350" t="s">
        <v>1763</v>
      </c>
      <c r="H128" s="351" t="s">
        <v>2399</v>
      </c>
      <c r="I128" s="397">
        <v>746117</v>
      </c>
      <c r="J128" s="397">
        <v>0</v>
      </c>
      <c r="K128" s="397">
        <v>0</v>
      </c>
      <c r="L128" s="397">
        <v>0</v>
      </c>
      <c r="M128" s="397">
        <v>0</v>
      </c>
      <c r="N128" s="398" t="s">
        <v>1786</v>
      </c>
      <c r="O128" s="352">
        <f t="shared" si="19"/>
        <v>746117</v>
      </c>
    </row>
    <row r="129" spans="1:16" s="353" customFormat="1" ht="187.5" x14ac:dyDescent="0.2">
      <c r="A129" s="346">
        <v>5</v>
      </c>
      <c r="B129" s="347" t="s">
        <v>2156</v>
      </c>
      <c r="C129" s="396" t="s">
        <v>2206</v>
      </c>
      <c r="D129" s="396" t="s">
        <v>2207</v>
      </c>
      <c r="E129" s="350" t="s">
        <v>1741</v>
      </c>
      <c r="F129" s="350" t="s">
        <v>2208</v>
      </c>
      <c r="G129" s="350" t="s">
        <v>1253</v>
      </c>
      <c r="H129" s="351" t="s">
        <v>2400</v>
      </c>
      <c r="I129" s="397">
        <v>699237.39</v>
      </c>
      <c r="J129" s="397">
        <v>0</v>
      </c>
      <c r="K129" s="397">
        <v>0</v>
      </c>
      <c r="L129" s="397">
        <v>219500</v>
      </c>
      <c r="M129" s="397">
        <v>219500</v>
      </c>
      <c r="N129" s="398"/>
      <c r="O129" s="352">
        <f t="shared" si="19"/>
        <v>260237.39</v>
      </c>
    </row>
    <row r="130" spans="1:16" s="353" customFormat="1" ht="93.75" x14ac:dyDescent="0.2">
      <c r="A130" s="346">
        <v>6</v>
      </c>
      <c r="B130" s="347" t="s">
        <v>2151</v>
      </c>
      <c r="C130" s="396" t="s">
        <v>2152</v>
      </c>
      <c r="D130" s="396" t="s">
        <v>2153</v>
      </c>
      <c r="E130" s="350" t="s">
        <v>1251</v>
      </c>
      <c r="F130" s="350" t="s">
        <v>2212</v>
      </c>
      <c r="G130" s="350" t="s">
        <v>2154</v>
      </c>
      <c r="H130" s="351" t="s">
        <v>2401</v>
      </c>
      <c r="I130" s="397">
        <v>4410580</v>
      </c>
      <c r="J130" s="397">
        <v>0</v>
      </c>
      <c r="K130" s="397">
        <v>0</v>
      </c>
      <c r="L130" s="397">
        <v>0</v>
      </c>
      <c r="M130" s="397">
        <v>0</v>
      </c>
      <c r="N130" s="398" t="s">
        <v>1786</v>
      </c>
      <c r="O130" s="352">
        <f t="shared" si="19"/>
        <v>4410580</v>
      </c>
    </row>
    <row r="131" spans="1:16" s="395" customFormat="1" x14ac:dyDescent="0.2">
      <c r="A131" s="388" t="s">
        <v>923</v>
      </c>
      <c r="B131" s="389"/>
      <c r="C131" s="390"/>
      <c r="D131" s="390"/>
      <c r="E131" s="391"/>
      <c r="F131" s="391"/>
      <c r="G131" s="391"/>
      <c r="H131" s="392"/>
      <c r="I131" s="393">
        <f>SUM(I132:I134)</f>
        <v>850473.5</v>
      </c>
      <c r="J131" s="393">
        <f t="shared" ref="J131:O131" si="20">SUM(J132:J134)</f>
        <v>0</v>
      </c>
      <c r="K131" s="393">
        <f t="shared" si="20"/>
        <v>0</v>
      </c>
      <c r="L131" s="393">
        <f t="shared" si="20"/>
        <v>8909.25</v>
      </c>
      <c r="M131" s="393">
        <f t="shared" si="20"/>
        <v>8909.25</v>
      </c>
      <c r="N131" s="393">
        <f t="shared" si="20"/>
        <v>0</v>
      </c>
      <c r="O131" s="394">
        <f t="shared" si="20"/>
        <v>832655</v>
      </c>
    </row>
    <row r="132" spans="1:16" s="353" customFormat="1" ht="168.75" x14ac:dyDescent="0.2">
      <c r="A132" s="346">
        <v>1</v>
      </c>
      <c r="B132" s="347" t="s">
        <v>2112</v>
      </c>
      <c r="C132" s="378" t="s">
        <v>2113</v>
      </c>
      <c r="D132" s="396" t="s">
        <v>2114</v>
      </c>
      <c r="E132" s="350" t="s">
        <v>929</v>
      </c>
      <c r="F132" s="350" t="s">
        <v>923</v>
      </c>
      <c r="G132" s="350" t="s">
        <v>930</v>
      </c>
      <c r="H132" s="351" t="s">
        <v>2402</v>
      </c>
      <c r="I132" s="397">
        <v>209932</v>
      </c>
      <c r="J132" s="397">
        <v>0</v>
      </c>
      <c r="K132" s="397">
        <v>0</v>
      </c>
      <c r="L132" s="397">
        <v>6367.75</v>
      </c>
      <c r="M132" s="397">
        <v>6367.75</v>
      </c>
      <c r="N132" s="397"/>
      <c r="O132" s="352">
        <f>+I132-(J132+K132+L132+M132+N132)</f>
        <v>197196.5</v>
      </c>
    </row>
    <row r="133" spans="1:16" s="353" customFormat="1" ht="131.25" x14ac:dyDescent="0.2">
      <c r="A133" s="371">
        <v>2</v>
      </c>
      <c r="B133" s="377" t="s">
        <v>2151</v>
      </c>
      <c r="C133" s="399" t="s">
        <v>2152</v>
      </c>
      <c r="D133" s="378" t="s">
        <v>2153</v>
      </c>
      <c r="E133" s="374" t="s">
        <v>2210</v>
      </c>
      <c r="F133" s="374" t="s">
        <v>923</v>
      </c>
      <c r="G133" s="374" t="s">
        <v>2211</v>
      </c>
      <c r="H133" s="375" t="s">
        <v>2403</v>
      </c>
      <c r="I133" s="379">
        <v>631000</v>
      </c>
      <c r="J133" s="379">
        <v>0</v>
      </c>
      <c r="K133" s="379">
        <v>0</v>
      </c>
      <c r="L133" s="379">
        <v>0</v>
      </c>
      <c r="M133" s="379">
        <v>0</v>
      </c>
      <c r="N133" s="398" t="s">
        <v>1786</v>
      </c>
      <c r="O133" s="352">
        <f>+I133-(SUM(J133:N133))</f>
        <v>631000</v>
      </c>
      <c r="P133" s="376"/>
    </row>
    <row r="134" spans="1:16" s="353" customFormat="1" ht="225" x14ac:dyDescent="0.2">
      <c r="A134" s="346">
        <v>3</v>
      </c>
      <c r="B134" s="377" t="s">
        <v>2255</v>
      </c>
      <c r="C134" s="399" t="s">
        <v>2256</v>
      </c>
      <c r="D134" s="378" t="s">
        <v>2257</v>
      </c>
      <c r="E134" s="350" t="s">
        <v>929</v>
      </c>
      <c r="F134" s="350" t="s">
        <v>923</v>
      </c>
      <c r="G134" s="350" t="s">
        <v>930</v>
      </c>
      <c r="H134" s="375" t="s">
        <v>2404</v>
      </c>
      <c r="I134" s="379">
        <v>9541.5</v>
      </c>
      <c r="J134" s="379">
        <v>0</v>
      </c>
      <c r="K134" s="379">
        <v>0</v>
      </c>
      <c r="L134" s="379">
        <v>2541.5</v>
      </c>
      <c r="M134" s="379">
        <v>2541.5</v>
      </c>
      <c r="N134" s="398"/>
      <c r="O134" s="352">
        <f>+I134-(SUM(J134:N134))</f>
        <v>4458.5</v>
      </c>
      <c r="P134" s="376"/>
    </row>
    <row r="135" spans="1:16" s="395" customFormat="1" x14ac:dyDescent="0.2">
      <c r="A135" s="388" t="s">
        <v>283</v>
      </c>
      <c r="B135" s="389"/>
      <c r="C135" s="390"/>
      <c r="D135" s="390"/>
      <c r="E135" s="391"/>
      <c r="F135" s="391"/>
      <c r="G135" s="391"/>
      <c r="H135" s="392"/>
      <c r="I135" s="393">
        <f>SUM(I136:I137)</f>
        <v>672000</v>
      </c>
      <c r="J135" s="393">
        <f t="shared" ref="J135:O135" si="21">SUM(J136:J137)</f>
        <v>0</v>
      </c>
      <c r="K135" s="393">
        <f t="shared" si="21"/>
        <v>0</v>
      </c>
      <c r="L135" s="393">
        <f t="shared" si="21"/>
        <v>0</v>
      </c>
      <c r="M135" s="393">
        <f t="shared" si="21"/>
        <v>0</v>
      </c>
      <c r="N135" s="393">
        <f t="shared" si="21"/>
        <v>0</v>
      </c>
      <c r="O135" s="394">
        <f t="shared" si="21"/>
        <v>672000</v>
      </c>
    </row>
    <row r="136" spans="1:16" s="353" customFormat="1" ht="337.5" x14ac:dyDescent="0.2">
      <c r="A136" s="346">
        <v>1</v>
      </c>
      <c r="B136" s="347" t="s">
        <v>2258</v>
      </c>
      <c r="C136" s="396" t="s">
        <v>2259</v>
      </c>
      <c r="D136" s="396" t="s">
        <v>2260</v>
      </c>
      <c r="E136" s="350" t="s">
        <v>2405</v>
      </c>
      <c r="F136" s="350" t="s">
        <v>283</v>
      </c>
      <c r="G136" s="350" t="s">
        <v>2261</v>
      </c>
      <c r="H136" s="351" t="s">
        <v>2406</v>
      </c>
      <c r="I136" s="397">
        <v>420000</v>
      </c>
      <c r="J136" s="397">
        <v>0</v>
      </c>
      <c r="K136" s="397">
        <v>0</v>
      </c>
      <c r="L136" s="397">
        <v>0</v>
      </c>
      <c r="M136" s="397">
        <v>0</v>
      </c>
      <c r="N136" s="398" t="s">
        <v>1837</v>
      </c>
      <c r="O136" s="352">
        <f>+I136-(SUM(J136:N136))</f>
        <v>420000</v>
      </c>
    </row>
    <row r="137" spans="1:16" s="353" customFormat="1" ht="262.5" x14ac:dyDescent="0.2">
      <c r="A137" s="371">
        <v>2</v>
      </c>
      <c r="B137" s="347" t="s">
        <v>2258</v>
      </c>
      <c r="C137" s="396" t="s">
        <v>2259</v>
      </c>
      <c r="D137" s="396" t="s">
        <v>2260</v>
      </c>
      <c r="E137" s="350" t="s">
        <v>2407</v>
      </c>
      <c r="F137" s="350" t="s">
        <v>283</v>
      </c>
      <c r="G137" s="350" t="s">
        <v>2261</v>
      </c>
      <c r="H137" s="351" t="s">
        <v>2408</v>
      </c>
      <c r="I137" s="397">
        <v>252000</v>
      </c>
      <c r="J137" s="397">
        <v>0</v>
      </c>
      <c r="K137" s="397">
        <v>0</v>
      </c>
      <c r="L137" s="397">
        <v>0</v>
      </c>
      <c r="M137" s="397">
        <v>0</v>
      </c>
      <c r="N137" s="398" t="s">
        <v>1837</v>
      </c>
      <c r="O137" s="352">
        <f>+I137-(SUM(J137:N137))</f>
        <v>252000</v>
      </c>
    </row>
    <row r="138" spans="1:16" s="395" customFormat="1" x14ac:dyDescent="0.2">
      <c r="A138" s="388" t="s">
        <v>2149</v>
      </c>
      <c r="B138" s="389"/>
      <c r="C138" s="390"/>
      <c r="D138" s="390"/>
      <c r="E138" s="391"/>
      <c r="F138" s="391"/>
      <c r="G138" s="391"/>
      <c r="H138" s="392"/>
      <c r="I138" s="393">
        <f>SUM(I139:I143)</f>
        <v>1322200</v>
      </c>
      <c r="J138" s="393">
        <f t="shared" ref="J138:O138" si="22">SUM(J139:J143)</f>
        <v>15000</v>
      </c>
      <c r="K138" s="393">
        <f t="shared" si="22"/>
        <v>15000</v>
      </c>
      <c r="L138" s="393">
        <f t="shared" si="22"/>
        <v>0</v>
      </c>
      <c r="M138" s="393">
        <f t="shared" si="22"/>
        <v>0</v>
      </c>
      <c r="N138" s="393">
        <f t="shared" si="22"/>
        <v>0</v>
      </c>
      <c r="O138" s="394">
        <f t="shared" si="22"/>
        <v>1292200</v>
      </c>
    </row>
    <row r="139" spans="1:16" s="353" customFormat="1" ht="112.5" x14ac:dyDescent="0.2">
      <c r="A139" s="346">
        <v>1</v>
      </c>
      <c r="B139" s="347" t="s">
        <v>2213</v>
      </c>
      <c r="C139" s="396" t="s">
        <v>2214</v>
      </c>
      <c r="D139" s="396" t="s">
        <v>2215</v>
      </c>
      <c r="E139" s="350" t="s">
        <v>1251</v>
      </c>
      <c r="F139" s="350" t="s">
        <v>2216</v>
      </c>
      <c r="G139" s="350" t="s">
        <v>1763</v>
      </c>
      <c r="H139" s="351" t="s">
        <v>2409</v>
      </c>
      <c r="I139" s="397">
        <v>672200</v>
      </c>
      <c r="J139" s="397">
        <v>0</v>
      </c>
      <c r="K139" s="397">
        <v>0</v>
      </c>
      <c r="L139" s="397">
        <v>0</v>
      </c>
      <c r="M139" s="397">
        <v>0</v>
      </c>
      <c r="N139" s="398" t="s">
        <v>2325</v>
      </c>
      <c r="O139" s="352">
        <f>+I139-(J139+K139+L139+M139)</f>
        <v>672200</v>
      </c>
    </row>
    <row r="140" spans="1:16" s="353" customFormat="1" ht="93.75" x14ac:dyDescent="0.2">
      <c r="A140" s="346">
        <v>2</v>
      </c>
      <c r="B140" s="347" t="s">
        <v>2151</v>
      </c>
      <c r="C140" s="396" t="s">
        <v>2217</v>
      </c>
      <c r="D140" s="396" t="s">
        <v>2218</v>
      </c>
      <c r="E140" s="350" t="s">
        <v>2219</v>
      </c>
      <c r="F140" s="350" t="s">
        <v>2149</v>
      </c>
      <c r="G140" s="350" t="s">
        <v>2220</v>
      </c>
      <c r="H140" s="351" t="s">
        <v>2410</v>
      </c>
      <c r="I140" s="397">
        <v>100000</v>
      </c>
      <c r="J140" s="397">
        <v>5000</v>
      </c>
      <c r="K140" s="397">
        <v>5000</v>
      </c>
      <c r="L140" s="397">
        <v>0</v>
      </c>
      <c r="M140" s="397">
        <v>0</v>
      </c>
      <c r="N140" s="398"/>
      <c r="O140" s="352">
        <f>+I140-(SUM(J140:N140))</f>
        <v>90000</v>
      </c>
    </row>
    <row r="141" spans="1:16" s="353" customFormat="1" ht="93.75" x14ac:dyDescent="0.2">
      <c r="A141" s="346">
        <v>3</v>
      </c>
      <c r="B141" s="347" t="s">
        <v>2411</v>
      </c>
      <c r="C141" s="396" t="s">
        <v>2412</v>
      </c>
      <c r="D141" s="396" t="s">
        <v>2413</v>
      </c>
      <c r="E141" s="350" t="s">
        <v>2414</v>
      </c>
      <c r="F141" s="350" t="s">
        <v>2149</v>
      </c>
      <c r="G141" s="350" t="s">
        <v>2415</v>
      </c>
      <c r="H141" s="351" t="s">
        <v>2416</v>
      </c>
      <c r="I141" s="397">
        <v>350000</v>
      </c>
      <c r="J141" s="397">
        <v>0</v>
      </c>
      <c r="K141" s="397"/>
      <c r="L141" s="397"/>
      <c r="M141" s="397"/>
      <c r="N141" s="398" t="s">
        <v>2417</v>
      </c>
      <c r="O141" s="352">
        <f>+I141-(SUM(J141:N141))</f>
        <v>350000</v>
      </c>
    </row>
    <row r="142" spans="1:16" s="353" customFormat="1" ht="93.75" x14ac:dyDescent="0.2">
      <c r="A142" s="346">
        <v>4</v>
      </c>
      <c r="B142" s="347" t="s">
        <v>2418</v>
      </c>
      <c r="C142" s="396" t="s">
        <v>2419</v>
      </c>
      <c r="D142" s="396" t="s">
        <v>2420</v>
      </c>
      <c r="E142" s="350" t="s">
        <v>2421</v>
      </c>
      <c r="F142" s="350" t="s">
        <v>2149</v>
      </c>
      <c r="G142" s="350" t="s">
        <v>2422</v>
      </c>
      <c r="H142" s="351" t="s">
        <v>2423</v>
      </c>
      <c r="I142" s="397">
        <v>50000</v>
      </c>
      <c r="J142" s="397">
        <v>2500</v>
      </c>
      <c r="K142" s="397">
        <v>2500</v>
      </c>
      <c r="L142" s="397">
        <v>0</v>
      </c>
      <c r="M142" s="397">
        <v>0</v>
      </c>
      <c r="N142" s="398">
        <v>0</v>
      </c>
      <c r="O142" s="352">
        <f>+I142-(SUM(J142:N142))</f>
        <v>45000</v>
      </c>
    </row>
    <row r="143" spans="1:16" s="353" customFormat="1" ht="93.75" x14ac:dyDescent="0.2">
      <c r="A143" s="346">
        <v>5</v>
      </c>
      <c r="B143" s="347" t="s">
        <v>2424</v>
      </c>
      <c r="C143" s="396" t="s">
        <v>2425</v>
      </c>
      <c r="D143" s="396" t="s">
        <v>2426</v>
      </c>
      <c r="E143" s="350" t="s">
        <v>2219</v>
      </c>
      <c r="F143" s="350" t="s">
        <v>2149</v>
      </c>
      <c r="G143" s="350" t="s">
        <v>2220</v>
      </c>
      <c r="H143" s="351" t="s">
        <v>2427</v>
      </c>
      <c r="I143" s="397">
        <v>150000</v>
      </c>
      <c r="J143" s="397">
        <v>7500</v>
      </c>
      <c r="K143" s="397">
        <v>7500</v>
      </c>
      <c r="L143" s="397">
        <v>0</v>
      </c>
      <c r="M143" s="397">
        <v>0</v>
      </c>
      <c r="N143" s="398">
        <v>0</v>
      </c>
      <c r="O143" s="352">
        <f>+I143-(SUM(J143:N143))</f>
        <v>135000</v>
      </c>
    </row>
    <row r="144" spans="1:16" s="395" customFormat="1" x14ac:dyDescent="0.2">
      <c r="A144" s="388" t="s">
        <v>2264</v>
      </c>
      <c r="B144" s="389"/>
      <c r="C144" s="390"/>
      <c r="D144" s="390"/>
      <c r="E144" s="391"/>
      <c r="F144" s="391"/>
      <c r="G144" s="391"/>
      <c r="H144" s="392"/>
      <c r="I144" s="393">
        <f>SUM(I145)</f>
        <v>500000</v>
      </c>
      <c r="J144" s="393">
        <f t="shared" ref="J144:O144" si="23">SUM(J145)</f>
        <v>0</v>
      </c>
      <c r="K144" s="393">
        <f t="shared" si="23"/>
        <v>0</v>
      </c>
      <c r="L144" s="393">
        <f t="shared" si="23"/>
        <v>21091</v>
      </c>
      <c r="M144" s="393">
        <f t="shared" si="23"/>
        <v>21091</v>
      </c>
      <c r="N144" s="393">
        <f t="shared" si="23"/>
        <v>0</v>
      </c>
      <c r="O144" s="394">
        <f t="shared" si="23"/>
        <v>457818</v>
      </c>
    </row>
    <row r="145" spans="1:15" s="353" customFormat="1" ht="168.75" x14ac:dyDescent="0.2">
      <c r="A145" s="346">
        <v>1</v>
      </c>
      <c r="B145" s="347" t="s">
        <v>2115</v>
      </c>
      <c r="C145" s="396" t="s">
        <v>2116</v>
      </c>
      <c r="D145" s="396" t="s">
        <v>2428</v>
      </c>
      <c r="E145" s="350" t="s">
        <v>2117</v>
      </c>
      <c r="F145" s="350" t="s">
        <v>2429</v>
      </c>
      <c r="G145" s="350" t="s">
        <v>1897</v>
      </c>
      <c r="H145" s="351" t="s">
        <v>2430</v>
      </c>
      <c r="I145" s="397">
        <v>500000</v>
      </c>
      <c r="J145" s="397">
        <v>0</v>
      </c>
      <c r="K145" s="397">
        <v>0</v>
      </c>
      <c r="L145" s="397">
        <v>21091</v>
      </c>
      <c r="M145" s="397">
        <v>21091</v>
      </c>
      <c r="N145" s="397"/>
      <c r="O145" s="352">
        <f>+I145-(J145+K145+L145+M145+N145)</f>
        <v>457818</v>
      </c>
    </row>
    <row r="146" spans="1:15" s="395" customFormat="1" x14ac:dyDescent="0.2">
      <c r="A146" s="388" t="s">
        <v>2150</v>
      </c>
      <c r="B146" s="389"/>
      <c r="C146" s="390"/>
      <c r="D146" s="390"/>
      <c r="E146" s="391"/>
      <c r="F146" s="391"/>
      <c r="G146" s="391"/>
      <c r="H146" s="392"/>
      <c r="I146" s="393">
        <f>SUM(I147:I148)</f>
        <v>593950</v>
      </c>
      <c r="J146" s="393">
        <f t="shared" ref="J146:O146" si="24">SUM(J147:J148)</f>
        <v>0</v>
      </c>
      <c r="K146" s="393">
        <f t="shared" si="24"/>
        <v>0</v>
      </c>
      <c r="L146" s="393">
        <f t="shared" si="24"/>
        <v>0</v>
      </c>
      <c r="M146" s="393">
        <f t="shared" si="24"/>
        <v>0</v>
      </c>
      <c r="N146" s="393">
        <f t="shared" si="24"/>
        <v>0</v>
      </c>
      <c r="O146" s="394">
        <f t="shared" si="24"/>
        <v>593950</v>
      </c>
    </row>
    <row r="147" spans="1:15" s="353" customFormat="1" ht="75" x14ac:dyDescent="0.2">
      <c r="A147" s="346">
        <v>1</v>
      </c>
      <c r="B147" s="347" t="s">
        <v>2187</v>
      </c>
      <c r="C147" s="396" t="s">
        <v>2221</v>
      </c>
      <c r="D147" s="396" t="s">
        <v>2222</v>
      </c>
      <c r="E147" s="350" t="s">
        <v>2223</v>
      </c>
      <c r="F147" s="350" t="s">
        <v>2150</v>
      </c>
      <c r="G147" s="350" t="s">
        <v>2154</v>
      </c>
      <c r="H147" s="351" t="s">
        <v>2431</v>
      </c>
      <c r="I147" s="397">
        <v>250000</v>
      </c>
      <c r="J147" s="397">
        <v>0</v>
      </c>
      <c r="K147" s="397">
        <v>0</v>
      </c>
      <c r="L147" s="397">
        <v>0</v>
      </c>
      <c r="M147" s="397">
        <v>0</v>
      </c>
      <c r="N147" s="398" t="s">
        <v>1786</v>
      </c>
      <c r="O147" s="352">
        <f>+I147-(J147+K147+L147+M147)</f>
        <v>250000</v>
      </c>
    </row>
    <row r="148" spans="1:15" s="353" customFormat="1" ht="131.25" x14ac:dyDescent="0.2">
      <c r="A148" s="346">
        <v>2</v>
      </c>
      <c r="B148" s="347" t="s">
        <v>2151</v>
      </c>
      <c r="C148" s="396" t="s">
        <v>2152</v>
      </c>
      <c r="D148" s="396" t="s">
        <v>2153</v>
      </c>
      <c r="E148" s="350" t="s">
        <v>2224</v>
      </c>
      <c r="F148" s="350" t="s">
        <v>2432</v>
      </c>
      <c r="G148" s="350" t="s">
        <v>2154</v>
      </c>
      <c r="H148" s="351" t="s">
        <v>2433</v>
      </c>
      <c r="I148" s="397">
        <v>343950</v>
      </c>
      <c r="J148" s="397">
        <v>0</v>
      </c>
      <c r="K148" s="397">
        <v>0</v>
      </c>
      <c r="L148" s="397">
        <v>0</v>
      </c>
      <c r="M148" s="397">
        <v>0</v>
      </c>
      <c r="N148" s="398" t="s">
        <v>1786</v>
      </c>
      <c r="O148" s="352">
        <f>+I148-(J148+K148+L148+M148)</f>
        <v>343950</v>
      </c>
    </row>
    <row r="149" spans="1:15" s="365" customFormat="1" ht="19.5" thickBot="1" x14ac:dyDescent="0.45">
      <c r="A149" s="683" t="s">
        <v>1919</v>
      </c>
      <c r="B149" s="683"/>
      <c r="C149" s="683"/>
      <c r="D149" s="683"/>
      <c r="E149" s="683"/>
      <c r="F149" s="683"/>
      <c r="G149" s="683"/>
      <c r="H149" s="683"/>
      <c r="I149" s="400">
        <f>SUM(I8+I14+I16+I18+I40+I45+I74+I81+I85+I95+I116+I124+I131+I135+I138+I144+I146)</f>
        <v>47024090.440000005</v>
      </c>
      <c r="J149" s="400">
        <f t="shared" ref="J149:O149" si="25">SUM(J8+J14+J16+J18+J40+J45+J74+J81+J85+J95+J116+J124+J131+J135+J138+J144+J146)</f>
        <v>638887.42000000004</v>
      </c>
      <c r="K149" s="400">
        <f t="shared" si="25"/>
        <v>638887.42000000004</v>
      </c>
      <c r="L149" s="400">
        <f t="shared" si="25"/>
        <v>985072.31</v>
      </c>
      <c r="M149" s="400">
        <f t="shared" si="25"/>
        <v>985072.31</v>
      </c>
      <c r="N149" s="400">
        <f t="shared" si="25"/>
        <v>0</v>
      </c>
      <c r="O149" s="401">
        <f t="shared" si="25"/>
        <v>43776170.980000004</v>
      </c>
    </row>
    <row r="150" spans="1:15" ht="19.5" thickTop="1" x14ac:dyDescent="0.4"/>
    <row r="151" spans="1:15" ht="21" x14ac:dyDescent="0.45">
      <c r="A151" s="372"/>
      <c r="I151" s="300">
        <v>47024090.439999998</v>
      </c>
      <c r="J151" s="300">
        <v>638887.42000000004</v>
      </c>
      <c r="K151" s="300">
        <v>638887.42000000004</v>
      </c>
      <c r="L151" s="300">
        <v>985072.30999999994</v>
      </c>
      <c r="M151" s="300">
        <v>985072.30999999994</v>
      </c>
      <c r="N151" s="300">
        <v>0</v>
      </c>
      <c r="O151" s="383">
        <v>43776170.980000004</v>
      </c>
    </row>
    <row r="152" spans="1:15" x14ac:dyDescent="0.4">
      <c r="I152" s="373">
        <f>SUM(I149-I151)</f>
        <v>7.4505805969238281E-9</v>
      </c>
      <c r="J152" s="373">
        <f t="shared" ref="J152:O152" si="26">SUM(J149-J151)</f>
        <v>0</v>
      </c>
      <c r="K152" s="373">
        <f t="shared" si="26"/>
        <v>0</v>
      </c>
      <c r="L152" s="373">
        <f t="shared" si="26"/>
        <v>1.1641532182693481E-10</v>
      </c>
      <c r="M152" s="373">
        <f t="shared" si="26"/>
        <v>1.1641532182693481E-10</v>
      </c>
      <c r="N152" s="373">
        <f t="shared" si="26"/>
        <v>0</v>
      </c>
      <c r="O152" s="402">
        <f t="shared" si="26"/>
        <v>0</v>
      </c>
    </row>
    <row r="153" spans="1:15" x14ac:dyDescent="0.4">
      <c r="I153" s="332"/>
    </row>
  </sheetData>
  <mergeCells count="18">
    <mergeCell ref="G6:G7"/>
    <mergeCell ref="H6:H7"/>
    <mergeCell ref="I6:I7"/>
    <mergeCell ref="J6:K6"/>
    <mergeCell ref="A149:H149"/>
    <mergeCell ref="A1:O1"/>
    <mergeCell ref="A2:O2"/>
    <mergeCell ref="A3:O3"/>
    <mergeCell ref="A5:A7"/>
    <mergeCell ref="B5:I5"/>
    <mergeCell ref="J5:N5"/>
    <mergeCell ref="O5:O7"/>
    <mergeCell ref="B6:B7"/>
    <mergeCell ref="C6:C7"/>
    <mergeCell ref="D6:D7"/>
    <mergeCell ref="L6:N6"/>
    <mergeCell ref="E6:E7"/>
    <mergeCell ref="F6:F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9"/>
  <sheetViews>
    <sheetView workbookViewId="0">
      <selection activeCell="F13" sqref="F13"/>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384" width="9" style="325"/>
  </cols>
  <sheetData>
    <row r="1" spans="1:10" s="298" customFormat="1" x14ac:dyDescent="0.5">
      <c r="A1" s="660" t="s">
        <v>1913</v>
      </c>
      <c r="B1" s="660"/>
      <c r="C1" s="660"/>
      <c r="D1" s="660"/>
      <c r="E1" s="660"/>
      <c r="F1" s="660"/>
      <c r="G1" s="660"/>
      <c r="H1" s="660"/>
      <c r="I1" s="660"/>
    </row>
    <row r="2" spans="1:10" s="298" customFormat="1" x14ac:dyDescent="0.5">
      <c r="A2" s="660" t="s">
        <v>2125</v>
      </c>
      <c r="B2" s="660"/>
      <c r="C2" s="660"/>
      <c r="D2" s="660"/>
      <c r="E2" s="660"/>
      <c r="F2" s="660"/>
      <c r="G2" s="660"/>
      <c r="H2" s="660"/>
      <c r="I2" s="660"/>
    </row>
    <row r="3" spans="1:10" s="298" customFormat="1" x14ac:dyDescent="0.5">
      <c r="A3" s="660" t="s">
        <v>1914</v>
      </c>
      <c r="B3" s="660"/>
      <c r="C3" s="660"/>
      <c r="D3" s="660"/>
      <c r="E3" s="660"/>
      <c r="F3" s="660"/>
      <c r="G3" s="660"/>
      <c r="H3" s="660"/>
      <c r="I3" s="660"/>
    </row>
    <row r="4" spans="1:10" s="301" customFormat="1" ht="21" x14ac:dyDescent="0.45">
      <c r="A4" s="299"/>
      <c r="B4" s="299"/>
      <c r="C4" s="300"/>
    </row>
    <row r="5" spans="1:10" s="303" customFormat="1" ht="21" x14ac:dyDescent="0.45">
      <c r="A5" s="619" t="s">
        <v>253</v>
      </c>
      <c r="B5" s="619" t="s">
        <v>1915</v>
      </c>
      <c r="C5" s="661" t="s">
        <v>263</v>
      </c>
      <c r="D5" s="653" t="s">
        <v>892</v>
      </c>
      <c r="E5" s="653"/>
      <c r="F5" s="653"/>
      <c r="G5" s="653"/>
      <c r="H5" s="653"/>
      <c r="I5" s="623" t="s">
        <v>256</v>
      </c>
      <c r="J5" s="302"/>
    </row>
    <row r="6" spans="1:10" s="304" customFormat="1" ht="21" x14ac:dyDescent="0.2">
      <c r="A6" s="619"/>
      <c r="B6" s="619"/>
      <c r="C6" s="661"/>
      <c r="D6" s="688" t="s">
        <v>893</v>
      </c>
      <c r="E6" s="688"/>
      <c r="F6" s="689" t="s">
        <v>265</v>
      </c>
      <c r="G6" s="689"/>
      <c r="H6" s="689"/>
      <c r="I6" s="623"/>
    </row>
    <row r="7" spans="1:10" s="303" customFormat="1" ht="54" x14ac:dyDescent="0.45">
      <c r="A7" s="619"/>
      <c r="B7" s="619"/>
      <c r="C7" s="661"/>
      <c r="D7" s="305" t="s">
        <v>1916</v>
      </c>
      <c r="E7" s="305" t="s">
        <v>1917</v>
      </c>
      <c r="F7" s="306" t="s">
        <v>1916</v>
      </c>
      <c r="G7" s="306" t="s">
        <v>1917</v>
      </c>
      <c r="H7" s="306" t="s">
        <v>1918</v>
      </c>
      <c r="I7" s="623"/>
      <c r="J7" s="302"/>
    </row>
    <row r="8" spans="1:10" s="310" customFormat="1" ht="21" x14ac:dyDescent="0.2">
      <c r="A8" s="307">
        <v>1</v>
      </c>
      <c r="B8" s="308" t="s">
        <v>739</v>
      </c>
      <c r="C8" s="309">
        <v>3194375</v>
      </c>
      <c r="D8" s="309">
        <v>0</v>
      </c>
      <c r="E8" s="309">
        <v>0</v>
      </c>
      <c r="F8" s="309">
        <v>81138.25</v>
      </c>
      <c r="G8" s="309">
        <v>81138.25</v>
      </c>
      <c r="H8" s="309">
        <v>0</v>
      </c>
      <c r="I8" s="309">
        <v>3032098.5</v>
      </c>
    </row>
    <row r="9" spans="1:10" s="313" customFormat="1" ht="21" x14ac:dyDescent="0.2">
      <c r="A9" s="311">
        <v>2</v>
      </c>
      <c r="B9" s="308" t="s">
        <v>360</v>
      </c>
      <c r="C9" s="312">
        <v>777219.22</v>
      </c>
      <c r="D9" s="312">
        <v>40000</v>
      </c>
      <c r="E9" s="312">
        <v>40000</v>
      </c>
      <c r="F9" s="312">
        <v>2924.01</v>
      </c>
      <c r="G9" s="312">
        <v>2924.01</v>
      </c>
      <c r="H9" s="312">
        <v>0</v>
      </c>
      <c r="I9" s="312">
        <v>691371.2</v>
      </c>
    </row>
    <row r="10" spans="1:10" s="313" customFormat="1" ht="21" x14ac:dyDescent="0.2">
      <c r="A10" s="311">
        <v>3</v>
      </c>
      <c r="B10" s="308" t="s">
        <v>1693</v>
      </c>
      <c r="C10" s="312">
        <v>8462923.2699999996</v>
      </c>
      <c r="D10" s="312">
        <v>241939.98999999996</v>
      </c>
      <c r="E10" s="312">
        <v>241939.98999999996</v>
      </c>
      <c r="F10" s="312">
        <v>289791</v>
      </c>
      <c r="G10" s="312">
        <v>289791</v>
      </c>
      <c r="H10" s="312">
        <v>0</v>
      </c>
      <c r="I10" s="312">
        <v>7399461.29</v>
      </c>
    </row>
    <row r="11" spans="1:10" s="317" customFormat="1" ht="21" x14ac:dyDescent="0.2">
      <c r="A11" s="314">
        <v>4</v>
      </c>
      <c r="B11" s="315" t="s">
        <v>512</v>
      </c>
      <c r="C11" s="316">
        <v>345550</v>
      </c>
      <c r="D11" s="316">
        <v>1677.5</v>
      </c>
      <c r="E11" s="316">
        <v>1677.5</v>
      </c>
      <c r="F11" s="316">
        <v>0</v>
      </c>
      <c r="G11" s="316">
        <v>0</v>
      </c>
      <c r="H11" s="316">
        <v>0</v>
      </c>
      <c r="I11" s="316">
        <v>342195</v>
      </c>
    </row>
    <row r="12" spans="1:10" s="313" customFormat="1" ht="21" x14ac:dyDescent="0.2">
      <c r="A12" s="307">
        <v>5</v>
      </c>
      <c r="B12" s="308" t="s">
        <v>22</v>
      </c>
      <c r="C12" s="312">
        <v>5687959</v>
      </c>
      <c r="D12" s="312">
        <v>97970</v>
      </c>
      <c r="E12" s="312">
        <v>97970</v>
      </c>
      <c r="F12" s="312">
        <v>51225</v>
      </c>
      <c r="G12" s="312">
        <v>51225</v>
      </c>
      <c r="H12" s="312">
        <v>0</v>
      </c>
      <c r="I12" s="312">
        <v>5389569</v>
      </c>
    </row>
    <row r="13" spans="1:10" s="313" customFormat="1" ht="21" x14ac:dyDescent="0.2">
      <c r="A13" s="311">
        <v>6</v>
      </c>
      <c r="B13" s="308" t="s">
        <v>1229</v>
      </c>
      <c r="C13" s="312">
        <v>321658</v>
      </c>
      <c r="D13" s="312">
        <v>0</v>
      </c>
      <c r="E13" s="312">
        <v>0</v>
      </c>
      <c r="F13" s="312">
        <v>0</v>
      </c>
      <c r="G13" s="312">
        <v>0</v>
      </c>
      <c r="H13" s="312">
        <v>0</v>
      </c>
      <c r="I13" s="312">
        <v>321658</v>
      </c>
    </row>
    <row r="14" spans="1:10" s="313" customFormat="1" ht="21" x14ac:dyDescent="0.2">
      <c r="A14" s="311">
        <v>7</v>
      </c>
      <c r="B14" s="308" t="s">
        <v>308</v>
      </c>
      <c r="C14" s="312">
        <v>1217800</v>
      </c>
      <c r="D14" s="312">
        <v>15105</v>
      </c>
      <c r="E14" s="312">
        <v>15105</v>
      </c>
      <c r="F14" s="312">
        <v>0</v>
      </c>
      <c r="G14" s="312">
        <v>0</v>
      </c>
      <c r="H14" s="312">
        <v>0</v>
      </c>
      <c r="I14" s="312">
        <v>1187590</v>
      </c>
    </row>
    <row r="15" spans="1:10" s="317" customFormat="1" ht="21" x14ac:dyDescent="0.2">
      <c r="A15" s="314">
        <v>8</v>
      </c>
      <c r="B15" s="315" t="s">
        <v>19</v>
      </c>
      <c r="C15" s="316">
        <v>5890279.04</v>
      </c>
      <c r="D15" s="316">
        <v>360146.95</v>
      </c>
      <c r="E15" s="316">
        <v>360146.95</v>
      </c>
      <c r="F15" s="316">
        <v>0</v>
      </c>
      <c r="G15" s="316">
        <v>0</v>
      </c>
      <c r="H15" s="316">
        <v>0</v>
      </c>
      <c r="I15" s="316">
        <v>5169985.1400000006</v>
      </c>
    </row>
    <row r="16" spans="1:10" s="313" customFormat="1" ht="21" x14ac:dyDescent="0.2">
      <c r="A16" s="307">
        <v>9</v>
      </c>
      <c r="B16" s="308" t="s">
        <v>1067</v>
      </c>
      <c r="C16" s="312">
        <v>4608282</v>
      </c>
      <c r="D16" s="312">
        <v>298486</v>
      </c>
      <c r="E16" s="312">
        <v>298486</v>
      </c>
      <c r="F16" s="312">
        <v>0</v>
      </c>
      <c r="G16" s="312">
        <v>0</v>
      </c>
      <c r="H16" s="312">
        <v>0</v>
      </c>
      <c r="I16" s="312">
        <v>4011310</v>
      </c>
    </row>
    <row r="17" spans="1:9" s="317" customFormat="1" ht="21" x14ac:dyDescent="0.2">
      <c r="A17" s="311">
        <v>10</v>
      </c>
      <c r="B17" s="315" t="s">
        <v>706</v>
      </c>
      <c r="C17" s="316">
        <v>2115946</v>
      </c>
      <c r="D17" s="316">
        <v>0</v>
      </c>
      <c r="E17" s="316">
        <v>0</v>
      </c>
      <c r="F17" s="316">
        <v>35745.504999999997</v>
      </c>
      <c r="G17" s="316">
        <v>35745.495000000003</v>
      </c>
      <c r="H17" s="316">
        <v>0</v>
      </c>
      <c r="I17" s="316">
        <v>2044455</v>
      </c>
    </row>
    <row r="18" spans="1:9" s="313" customFormat="1" ht="21" x14ac:dyDescent="0.2">
      <c r="A18" s="311">
        <v>11</v>
      </c>
      <c r="B18" s="308" t="s">
        <v>152</v>
      </c>
      <c r="C18" s="312">
        <v>2703220</v>
      </c>
      <c r="D18" s="312">
        <v>80000</v>
      </c>
      <c r="E18" s="312">
        <v>80000</v>
      </c>
      <c r="F18" s="312">
        <v>0</v>
      </c>
      <c r="G18" s="312">
        <v>0</v>
      </c>
      <c r="H18" s="312">
        <v>0</v>
      </c>
      <c r="I18" s="312">
        <v>2543220</v>
      </c>
    </row>
    <row r="19" spans="1:9" s="317" customFormat="1" ht="21" x14ac:dyDescent="0.2">
      <c r="A19" s="314">
        <v>12</v>
      </c>
      <c r="B19" s="315" t="s">
        <v>283</v>
      </c>
      <c r="C19" s="316">
        <v>366582</v>
      </c>
      <c r="D19" s="316">
        <v>29326.560000000001</v>
      </c>
      <c r="E19" s="316">
        <v>29326.560000000001</v>
      </c>
      <c r="F19" s="316">
        <v>0</v>
      </c>
      <c r="G19" s="316">
        <v>0</v>
      </c>
      <c r="H19" s="316">
        <v>0</v>
      </c>
      <c r="I19" s="316">
        <v>307928.88</v>
      </c>
    </row>
    <row r="20" spans="1:9" s="313" customFormat="1" ht="21" x14ac:dyDescent="0.2">
      <c r="A20" s="307">
        <v>13</v>
      </c>
      <c r="B20" s="308" t="s">
        <v>1904</v>
      </c>
      <c r="C20" s="312">
        <v>922108</v>
      </c>
      <c r="D20" s="312">
        <v>46105.4</v>
      </c>
      <c r="E20" s="312">
        <v>46105.4</v>
      </c>
      <c r="F20" s="312">
        <v>0</v>
      </c>
      <c r="G20" s="312">
        <v>0</v>
      </c>
      <c r="H20" s="312">
        <v>0</v>
      </c>
      <c r="I20" s="312">
        <v>829897.2</v>
      </c>
    </row>
    <row r="21" spans="1:9" s="322" customFormat="1" ht="21.75" thickBot="1" x14ac:dyDescent="0.5">
      <c r="A21" s="658" t="s">
        <v>1919</v>
      </c>
      <c r="B21" s="659"/>
      <c r="C21" s="318">
        <f t="shared" ref="C21:I21" si="0">SUM(C8+C9+C10+C11+C12+C13+C14+C15+C16+C17+C18+C19+C20)</f>
        <v>36613901.530000001</v>
      </c>
      <c r="D21" s="319">
        <f t="shared" si="0"/>
        <v>1210757.3999999999</v>
      </c>
      <c r="E21" s="319">
        <f t="shared" si="0"/>
        <v>1210757.3999999999</v>
      </c>
      <c r="F21" s="320">
        <f t="shared" si="0"/>
        <v>460823.76500000001</v>
      </c>
      <c r="G21" s="320">
        <f t="shared" si="0"/>
        <v>460823.755</v>
      </c>
      <c r="H21" s="320">
        <f t="shared" si="0"/>
        <v>0</v>
      </c>
      <c r="I21" s="321">
        <f t="shared" si="0"/>
        <v>33270739.210000001</v>
      </c>
    </row>
    <row r="22" spans="1:9" ht="24" thickTop="1" x14ac:dyDescent="0.5"/>
    <row r="26" spans="1:9" x14ac:dyDescent="0.5">
      <c r="D26" s="324"/>
      <c r="E26" s="324"/>
      <c r="F26" s="324"/>
      <c r="G26" s="324"/>
      <c r="H26" s="324"/>
      <c r="I26" s="324"/>
    </row>
    <row r="27" spans="1:9" x14ac:dyDescent="0.5">
      <c r="D27" s="324"/>
      <c r="E27" s="324"/>
      <c r="F27" s="324"/>
      <c r="G27" s="324"/>
      <c r="H27" s="324"/>
      <c r="I27" s="324"/>
    </row>
    <row r="47" spans="2:10" x14ac:dyDescent="0.5">
      <c r="B47" s="326"/>
      <c r="C47" s="686"/>
      <c r="D47" s="686"/>
      <c r="E47" s="686"/>
      <c r="F47" s="687"/>
      <c r="G47" s="687"/>
      <c r="H47" s="687"/>
      <c r="I47" s="687"/>
      <c r="J47" s="327"/>
    </row>
    <row r="48" spans="2:10" x14ac:dyDescent="0.5">
      <c r="B48" s="326"/>
      <c r="C48" s="686"/>
      <c r="D48" s="686"/>
      <c r="E48" s="686"/>
      <c r="F48" s="687"/>
      <c r="G48" s="687"/>
      <c r="H48" s="687"/>
      <c r="I48" s="687"/>
      <c r="J48" s="327"/>
    </row>
    <row r="49" spans="2:10" x14ac:dyDescent="0.5">
      <c r="B49" s="326"/>
      <c r="C49" s="686"/>
      <c r="D49" s="686"/>
      <c r="E49" s="686"/>
      <c r="F49" s="687"/>
      <c r="G49" s="687"/>
      <c r="H49" s="687"/>
      <c r="I49" s="687"/>
      <c r="J49" s="327"/>
    </row>
  </sheetData>
  <mergeCells count="17">
    <mergeCell ref="A1:I1"/>
    <mergeCell ref="A2:I2"/>
    <mergeCell ref="A3:I3"/>
    <mergeCell ref="A5:A7"/>
    <mergeCell ref="B5:B7"/>
    <mergeCell ref="C5:C7"/>
    <mergeCell ref="D5:H5"/>
    <mergeCell ref="I5:I7"/>
    <mergeCell ref="D6:E6"/>
    <mergeCell ref="F6:H6"/>
    <mergeCell ref="C48:E48"/>
    <mergeCell ref="F48:I48"/>
    <mergeCell ref="C49:E49"/>
    <mergeCell ref="F49:I49"/>
    <mergeCell ref="A21:B21"/>
    <mergeCell ref="C47:E47"/>
    <mergeCell ref="F47:I4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8"/>
  <sheetViews>
    <sheetView topLeftCell="A137" workbookViewId="0">
      <selection activeCell="A3" sqref="A3:O3"/>
    </sheetView>
  </sheetViews>
  <sheetFormatPr defaultRowHeight="18.75" x14ac:dyDescent="0.4"/>
  <cols>
    <col min="1" max="1" width="4.625" style="366" customWidth="1"/>
    <col min="2" max="2" width="9.125" style="367" customWidth="1"/>
    <col min="3" max="3" width="10.625" style="366" customWidth="1"/>
    <col min="4" max="4" width="16.625" style="366" customWidth="1"/>
    <col min="5" max="5" width="22.625" style="368" customWidth="1"/>
    <col min="6" max="7" width="17.125" style="332" customWidth="1"/>
    <col min="8" max="8" width="28.125" style="332" customWidth="1"/>
    <col min="9" max="9" width="12.625" style="369" customWidth="1"/>
    <col min="10" max="13" width="11.625" style="328" customWidth="1"/>
    <col min="14" max="14" width="9.625" style="328" customWidth="1"/>
    <col min="15" max="15" width="11.625" style="328" customWidth="1"/>
    <col min="16" max="256" width="9" style="328"/>
    <col min="257" max="257" width="4.625" style="328" customWidth="1"/>
    <col min="258" max="258" width="9.125" style="328" customWidth="1"/>
    <col min="259" max="259" width="10.625" style="328" customWidth="1"/>
    <col min="260" max="260" width="16.62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0.625" style="328" customWidth="1"/>
    <col min="516" max="516" width="16.62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0.625" style="328" customWidth="1"/>
    <col min="772" max="772" width="16.62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0.625" style="328" customWidth="1"/>
    <col min="1028" max="1028" width="16.62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0.625" style="328" customWidth="1"/>
    <col min="1284" max="1284" width="16.62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0.625" style="328" customWidth="1"/>
    <col min="1540" max="1540" width="16.62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0.625" style="328" customWidth="1"/>
    <col min="1796" max="1796" width="16.62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0.625" style="328" customWidth="1"/>
    <col min="2052" max="2052" width="16.62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0.625" style="328" customWidth="1"/>
    <col min="2308" max="2308" width="16.62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0.625" style="328" customWidth="1"/>
    <col min="2564" max="2564" width="16.62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0.625" style="328" customWidth="1"/>
    <col min="2820" max="2820" width="16.62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0.625" style="328" customWidth="1"/>
    <col min="3076" max="3076" width="16.62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0.625" style="328" customWidth="1"/>
    <col min="3332" max="3332" width="16.62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0.625" style="328" customWidth="1"/>
    <col min="3588" max="3588" width="16.62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0.625" style="328" customWidth="1"/>
    <col min="3844" max="3844" width="16.62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0.625" style="328" customWidth="1"/>
    <col min="4100" max="4100" width="16.62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0.625" style="328" customWidth="1"/>
    <col min="4356" max="4356" width="16.62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0.625" style="328" customWidth="1"/>
    <col min="4612" max="4612" width="16.62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0.625" style="328" customWidth="1"/>
    <col min="4868" max="4868" width="16.62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0.625" style="328" customWidth="1"/>
    <col min="5124" max="5124" width="16.62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0.625" style="328" customWidth="1"/>
    <col min="5380" max="5380" width="16.62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0.625" style="328" customWidth="1"/>
    <col min="5636" max="5636" width="16.62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0.625" style="328" customWidth="1"/>
    <col min="5892" max="5892" width="16.62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0.625" style="328" customWidth="1"/>
    <col min="6148" max="6148" width="16.62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0.625" style="328" customWidth="1"/>
    <col min="6404" max="6404" width="16.62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0.625" style="328" customWidth="1"/>
    <col min="6660" max="6660" width="16.62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0.625" style="328" customWidth="1"/>
    <col min="6916" max="6916" width="16.62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0.625" style="328" customWidth="1"/>
    <col min="7172" max="7172" width="16.62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0.625" style="328" customWidth="1"/>
    <col min="7428" max="7428" width="16.62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0.625" style="328" customWidth="1"/>
    <col min="7684" max="7684" width="16.62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0.625" style="328" customWidth="1"/>
    <col min="7940" max="7940" width="16.62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0.625" style="328" customWidth="1"/>
    <col min="8196" max="8196" width="16.62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0.625" style="328" customWidth="1"/>
    <col min="8452" max="8452" width="16.62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0.625" style="328" customWidth="1"/>
    <col min="8708" max="8708" width="16.62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0.625" style="328" customWidth="1"/>
    <col min="8964" max="8964" width="16.62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0.625" style="328" customWidth="1"/>
    <col min="9220" max="9220" width="16.62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0.625" style="328" customWidth="1"/>
    <col min="9476" max="9476" width="16.62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0.625" style="328" customWidth="1"/>
    <col min="9732" max="9732" width="16.62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0.625" style="328" customWidth="1"/>
    <col min="9988" max="9988" width="16.62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0.625" style="328" customWidth="1"/>
    <col min="10244" max="10244" width="16.62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0.625" style="328" customWidth="1"/>
    <col min="10500" max="10500" width="16.62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0.625" style="328" customWidth="1"/>
    <col min="10756" max="10756" width="16.62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0.625" style="328" customWidth="1"/>
    <col min="11012" max="11012" width="16.62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0.625" style="328" customWidth="1"/>
    <col min="11268" max="11268" width="16.62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0.625" style="328" customWidth="1"/>
    <col min="11524" max="11524" width="16.62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0.625" style="328" customWidth="1"/>
    <col min="11780" max="11780" width="16.62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0.625" style="328" customWidth="1"/>
    <col min="12036" max="12036" width="16.62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0.625" style="328" customWidth="1"/>
    <col min="12292" max="12292" width="16.62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0.625" style="328" customWidth="1"/>
    <col min="12548" max="12548" width="16.62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0.625" style="328" customWidth="1"/>
    <col min="12804" max="12804" width="16.62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0.625" style="328" customWidth="1"/>
    <col min="13060" max="13060" width="16.62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0.625" style="328" customWidth="1"/>
    <col min="13316" max="13316" width="16.62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0.625" style="328" customWidth="1"/>
    <col min="13572" max="13572" width="16.62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0.625" style="328" customWidth="1"/>
    <col min="13828" max="13828" width="16.62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0.625" style="328" customWidth="1"/>
    <col min="14084" max="14084" width="16.62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0.625" style="328" customWidth="1"/>
    <col min="14340" max="14340" width="16.62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0.625" style="328" customWidth="1"/>
    <col min="14596" max="14596" width="16.62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0.625" style="328" customWidth="1"/>
    <col min="14852" max="14852" width="16.62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0.625" style="328" customWidth="1"/>
    <col min="15108" max="15108" width="16.62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0.625" style="328" customWidth="1"/>
    <col min="15364" max="15364" width="16.62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0.625" style="328" customWidth="1"/>
    <col min="15620" max="15620" width="16.62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0.625" style="328" customWidth="1"/>
    <col min="15876" max="15876" width="16.62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0.625" style="328" customWidth="1"/>
    <col min="16132" max="16132" width="16.62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72" t="s">
        <v>1913</v>
      </c>
      <c r="B1" s="672"/>
      <c r="C1" s="672"/>
      <c r="D1" s="672"/>
      <c r="E1" s="672"/>
      <c r="F1" s="672"/>
      <c r="G1" s="672"/>
      <c r="H1" s="672"/>
      <c r="I1" s="672"/>
      <c r="J1" s="672"/>
      <c r="K1" s="672"/>
      <c r="L1" s="672"/>
      <c r="M1" s="672"/>
      <c r="N1" s="672"/>
      <c r="O1" s="672"/>
    </row>
    <row r="2" spans="1:16" ht="21" x14ac:dyDescent="0.45">
      <c r="A2" s="672" t="s">
        <v>1920</v>
      </c>
      <c r="B2" s="672"/>
      <c r="C2" s="672"/>
      <c r="D2" s="672"/>
      <c r="E2" s="672"/>
      <c r="F2" s="672"/>
      <c r="G2" s="672"/>
      <c r="H2" s="672"/>
      <c r="I2" s="672"/>
      <c r="J2" s="672"/>
      <c r="K2" s="672"/>
      <c r="L2" s="672"/>
      <c r="M2" s="672"/>
      <c r="N2" s="672"/>
      <c r="O2" s="672"/>
    </row>
    <row r="3" spans="1:16" ht="21" x14ac:dyDescent="0.45">
      <c r="A3" s="672" t="s">
        <v>1914</v>
      </c>
      <c r="B3" s="672"/>
      <c r="C3" s="672"/>
      <c r="D3" s="672"/>
      <c r="E3" s="672"/>
      <c r="F3" s="672"/>
      <c r="G3" s="672"/>
      <c r="H3" s="672"/>
      <c r="I3" s="672"/>
      <c r="J3" s="672"/>
      <c r="K3" s="672"/>
      <c r="L3" s="672"/>
      <c r="M3" s="672"/>
      <c r="N3" s="672"/>
      <c r="O3" s="672"/>
    </row>
    <row r="4" spans="1:16" s="332" customFormat="1" ht="8.1" customHeight="1" thickBot="1" x14ac:dyDescent="0.45">
      <c r="A4" s="329"/>
      <c r="B4" s="330"/>
      <c r="C4" s="329"/>
      <c r="D4" s="329"/>
      <c r="E4" s="331"/>
      <c r="I4" s="333"/>
    </row>
    <row r="5" spans="1:16" s="335" customFormat="1" ht="38.1" customHeight="1" x14ac:dyDescent="0.4">
      <c r="A5" s="694" t="s">
        <v>253</v>
      </c>
      <c r="B5" s="697" t="s">
        <v>254</v>
      </c>
      <c r="C5" s="698"/>
      <c r="D5" s="698"/>
      <c r="E5" s="698"/>
      <c r="F5" s="698"/>
      <c r="G5" s="698"/>
      <c r="H5" s="698"/>
      <c r="I5" s="699"/>
      <c r="J5" s="700" t="s">
        <v>892</v>
      </c>
      <c r="K5" s="701"/>
      <c r="L5" s="701"/>
      <c r="M5" s="701"/>
      <c r="N5" s="702"/>
      <c r="O5" s="703" t="s">
        <v>256</v>
      </c>
      <c r="P5" s="334"/>
    </row>
    <row r="6" spans="1:16" s="336" customFormat="1" ht="57.95" customHeight="1" x14ac:dyDescent="0.2">
      <c r="A6" s="695"/>
      <c r="B6" s="678" t="s">
        <v>257</v>
      </c>
      <c r="C6" s="673" t="s">
        <v>2</v>
      </c>
      <c r="D6" s="673" t="s">
        <v>258</v>
      </c>
      <c r="E6" s="674" t="s">
        <v>259</v>
      </c>
      <c r="F6" s="673" t="s">
        <v>260</v>
      </c>
      <c r="G6" s="673" t="s">
        <v>261</v>
      </c>
      <c r="H6" s="673" t="s">
        <v>262</v>
      </c>
      <c r="I6" s="668" t="s">
        <v>263</v>
      </c>
      <c r="J6" s="692" t="s">
        <v>893</v>
      </c>
      <c r="K6" s="693"/>
      <c r="L6" s="706" t="s">
        <v>265</v>
      </c>
      <c r="M6" s="707"/>
      <c r="N6" s="708"/>
      <c r="O6" s="704"/>
    </row>
    <row r="7" spans="1:16" s="335" customFormat="1" ht="60" customHeight="1" x14ac:dyDescent="0.4">
      <c r="A7" s="696"/>
      <c r="B7" s="678"/>
      <c r="C7" s="673"/>
      <c r="D7" s="673"/>
      <c r="E7" s="709"/>
      <c r="F7" s="673"/>
      <c r="G7" s="673"/>
      <c r="H7" s="673"/>
      <c r="I7" s="668"/>
      <c r="J7" s="337" t="s">
        <v>266</v>
      </c>
      <c r="K7" s="337" t="s">
        <v>267</v>
      </c>
      <c r="L7" s="338" t="s">
        <v>266</v>
      </c>
      <c r="M7" s="338" t="s">
        <v>267</v>
      </c>
      <c r="N7" s="338" t="s">
        <v>1921</v>
      </c>
      <c r="O7" s="705"/>
      <c r="P7" s="334"/>
    </row>
    <row r="8" spans="1:16" s="345" customFormat="1" x14ac:dyDescent="0.4">
      <c r="A8" s="339" t="s">
        <v>739</v>
      </c>
      <c r="B8" s="340"/>
      <c r="C8" s="341"/>
      <c r="D8" s="341"/>
      <c r="E8" s="342"/>
      <c r="F8" s="341"/>
      <c r="G8" s="341"/>
      <c r="H8" s="341"/>
      <c r="I8" s="343">
        <f>SUM(I9:I15)</f>
        <v>3194375</v>
      </c>
      <c r="J8" s="343">
        <f t="shared" ref="J8:O8" si="0">SUM(J9:J15)</f>
        <v>0</v>
      </c>
      <c r="K8" s="343">
        <f t="shared" si="0"/>
        <v>0</v>
      </c>
      <c r="L8" s="343">
        <f t="shared" si="0"/>
        <v>81138.25</v>
      </c>
      <c r="M8" s="343">
        <f t="shared" si="0"/>
        <v>81138.25</v>
      </c>
      <c r="N8" s="343">
        <f t="shared" si="0"/>
        <v>0</v>
      </c>
      <c r="O8" s="343">
        <f t="shared" si="0"/>
        <v>3032098.5</v>
      </c>
      <c r="P8" s="344"/>
    </row>
    <row r="9" spans="1:16" s="354" customFormat="1" ht="20.100000000000001" customHeight="1" x14ac:dyDescent="0.4">
      <c r="A9" s="346">
        <v>1</v>
      </c>
      <c r="B9" s="347" t="s">
        <v>1657</v>
      </c>
      <c r="C9" s="348" t="s">
        <v>1666</v>
      </c>
      <c r="D9" s="346" t="s">
        <v>1854</v>
      </c>
      <c r="E9" s="349" t="s">
        <v>1667</v>
      </c>
      <c r="F9" s="350" t="s">
        <v>739</v>
      </c>
      <c r="G9" s="350" t="s">
        <v>908</v>
      </c>
      <c r="H9" s="351" t="s">
        <v>1922</v>
      </c>
      <c r="I9" s="352">
        <f>67539+767461</f>
        <v>835000</v>
      </c>
      <c r="J9" s="352">
        <v>0</v>
      </c>
      <c r="K9" s="352">
        <v>0</v>
      </c>
      <c r="L9" s="352">
        <v>33769.5</v>
      </c>
      <c r="M9" s="352">
        <v>33769.5</v>
      </c>
      <c r="N9" s="352">
        <v>0</v>
      </c>
      <c r="O9" s="352">
        <f t="shared" ref="O9:O15" si="1">+I9-(SUM(J9:N9))</f>
        <v>767461</v>
      </c>
      <c r="P9" s="353"/>
    </row>
    <row r="10" spans="1:16" s="353" customFormat="1" ht="93.75" x14ac:dyDescent="0.2">
      <c r="A10" s="346">
        <v>2</v>
      </c>
      <c r="B10" s="347" t="s">
        <v>1860</v>
      </c>
      <c r="C10" s="348" t="s">
        <v>1861</v>
      </c>
      <c r="D10" s="346" t="s">
        <v>1862</v>
      </c>
      <c r="E10" s="349" t="s">
        <v>1173</v>
      </c>
      <c r="F10" s="350" t="s">
        <v>739</v>
      </c>
      <c r="G10" s="350" t="s">
        <v>1162</v>
      </c>
      <c r="H10" s="351" t="s">
        <v>1923</v>
      </c>
      <c r="I10" s="352">
        <v>30875</v>
      </c>
      <c r="J10" s="352">
        <v>0</v>
      </c>
      <c r="K10" s="352">
        <v>0</v>
      </c>
      <c r="L10" s="352">
        <v>1918.75</v>
      </c>
      <c r="M10" s="352">
        <v>1918.75</v>
      </c>
      <c r="N10" s="352">
        <v>0</v>
      </c>
      <c r="O10" s="352">
        <f t="shared" si="1"/>
        <v>27037.5</v>
      </c>
    </row>
    <row r="11" spans="1:16" s="354" customFormat="1" ht="20.100000000000001" customHeight="1" x14ac:dyDescent="0.4">
      <c r="A11" s="346">
        <v>3</v>
      </c>
      <c r="B11" s="347" t="s">
        <v>1871</v>
      </c>
      <c r="C11" s="348" t="s">
        <v>1872</v>
      </c>
      <c r="D11" s="346" t="s">
        <v>1873</v>
      </c>
      <c r="E11" s="349" t="s">
        <v>1173</v>
      </c>
      <c r="F11" s="350" t="s">
        <v>739</v>
      </c>
      <c r="G11" s="350" t="s">
        <v>1162</v>
      </c>
      <c r="H11" s="351" t="s">
        <v>1924</v>
      </c>
      <c r="I11" s="352">
        <v>171000</v>
      </c>
      <c r="J11" s="352">
        <v>0</v>
      </c>
      <c r="K11" s="352">
        <v>0</v>
      </c>
      <c r="L11" s="352">
        <v>15000</v>
      </c>
      <c r="M11" s="352">
        <v>15000</v>
      </c>
      <c r="N11" s="352">
        <v>0</v>
      </c>
      <c r="O11" s="352">
        <f t="shared" si="1"/>
        <v>141000</v>
      </c>
      <c r="P11" s="353"/>
    </row>
    <row r="12" spans="1:16" s="353" customFormat="1" ht="112.5" x14ac:dyDescent="0.2">
      <c r="A12" s="346">
        <v>4</v>
      </c>
      <c r="B12" s="347" t="s">
        <v>1807</v>
      </c>
      <c r="C12" s="348" t="s">
        <v>1808</v>
      </c>
      <c r="D12" s="346" t="s">
        <v>1809</v>
      </c>
      <c r="E12" s="349" t="s">
        <v>1185</v>
      </c>
      <c r="F12" s="350" t="s">
        <v>1186</v>
      </c>
      <c r="G12" s="350" t="s">
        <v>1763</v>
      </c>
      <c r="H12" s="351" t="s">
        <v>1925</v>
      </c>
      <c r="I12" s="352">
        <v>1235000</v>
      </c>
      <c r="J12" s="352">
        <v>0</v>
      </c>
      <c r="K12" s="352">
        <v>0</v>
      </c>
      <c r="L12" s="352">
        <v>0</v>
      </c>
      <c r="M12" s="352">
        <v>0</v>
      </c>
      <c r="N12" s="355" t="s">
        <v>1786</v>
      </c>
      <c r="O12" s="352">
        <f t="shared" si="1"/>
        <v>1235000</v>
      </c>
    </row>
    <row r="13" spans="1:16" s="353" customFormat="1" ht="56.25" x14ac:dyDescent="0.2">
      <c r="A13" s="346">
        <v>5</v>
      </c>
      <c r="B13" s="347" t="s">
        <v>1814</v>
      </c>
      <c r="C13" s="348" t="s">
        <v>1895</v>
      </c>
      <c r="D13" s="346" t="s">
        <v>1896</v>
      </c>
      <c r="E13" s="349" t="s">
        <v>1185</v>
      </c>
      <c r="F13" s="350" t="s">
        <v>739</v>
      </c>
      <c r="G13" s="350" t="s">
        <v>1897</v>
      </c>
      <c r="H13" s="351" t="s">
        <v>1926</v>
      </c>
      <c r="I13" s="352">
        <f>60900+639100</f>
        <v>700000</v>
      </c>
      <c r="J13" s="352">
        <v>0</v>
      </c>
      <c r="K13" s="352">
        <v>0</v>
      </c>
      <c r="L13" s="352">
        <v>30450</v>
      </c>
      <c r="M13" s="352">
        <v>30450</v>
      </c>
      <c r="N13" s="352">
        <v>0</v>
      </c>
      <c r="O13" s="352">
        <f t="shared" si="1"/>
        <v>639100</v>
      </c>
    </row>
    <row r="14" spans="1:16" s="353" customFormat="1" ht="93.75" x14ac:dyDescent="0.2">
      <c r="A14" s="346">
        <v>6</v>
      </c>
      <c r="B14" s="347" t="s">
        <v>1898</v>
      </c>
      <c r="C14" s="348" t="s">
        <v>1899</v>
      </c>
      <c r="D14" s="346" t="s">
        <v>1900</v>
      </c>
      <c r="E14" s="349" t="s">
        <v>1173</v>
      </c>
      <c r="F14" s="350" t="s">
        <v>739</v>
      </c>
      <c r="G14" s="350" t="s">
        <v>1162</v>
      </c>
      <c r="H14" s="351" t="s">
        <v>1927</v>
      </c>
      <c r="I14" s="352">
        <v>32500</v>
      </c>
      <c r="J14" s="352">
        <v>0</v>
      </c>
      <c r="K14" s="352">
        <v>0</v>
      </c>
      <c r="L14" s="352">
        <v>0</v>
      </c>
      <c r="M14" s="352">
        <v>0</v>
      </c>
      <c r="N14" s="355" t="s">
        <v>1901</v>
      </c>
      <c r="O14" s="352">
        <f t="shared" si="1"/>
        <v>32500</v>
      </c>
    </row>
    <row r="15" spans="1:16" s="353" customFormat="1" ht="112.5" x14ac:dyDescent="0.2">
      <c r="A15" s="346">
        <v>7</v>
      </c>
      <c r="B15" s="347">
        <v>243161</v>
      </c>
      <c r="C15" s="348" t="s">
        <v>1109</v>
      </c>
      <c r="D15" s="346" t="s">
        <v>1912</v>
      </c>
      <c r="E15" s="349" t="s">
        <v>1173</v>
      </c>
      <c r="F15" s="350" t="s">
        <v>1186</v>
      </c>
      <c r="G15" s="350" t="s">
        <v>1162</v>
      </c>
      <c r="H15" s="351" t="s">
        <v>1928</v>
      </c>
      <c r="I15" s="352">
        <v>190000</v>
      </c>
      <c r="J15" s="352">
        <v>0</v>
      </c>
      <c r="K15" s="352">
        <v>0</v>
      </c>
      <c r="L15" s="352"/>
      <c r="M15" s="352"/>
      <c r="N15" s="355" t="s">
        <v>1911</v>
      </c>
      <c r="O15" s="352">
        <f t="shared" si="1"/>
        <v>190000</v>
      </c>
    </row>
    <row r="16" spans="1:16" s="353" customFormat="1" x14ac:dyDescent="0.2">
      <c r="A16" s="356" t="s">
        <v>360</v>
      </c>
      <c r="B16" s="357"/>
      <c r="C16" s="358"/>
      <c r="D16" s="359"/>
      <c r="E16" s="356"/>
      <c r="F16" s="360"/>
      <c r="G16" s="360"/>
      <c r="H16" s="361"/>
      <c r="I16" s="362">
        <f>SUM(I17:I26)</f>
        <v>777219.22</v>
      </c>
      <c r="J16" s="362">
        <f t="shared" ref="J16:O16" si="2">SUM(J17:J26)</f>
        <v>40000</v>
      </c>
      <c r="K16" s="362">
        <f t="shared" si="2"/>
        <v>40000</v>
      </c>
      <c r="L16" s="362">
        <f t="shared" si="2"/>
        <v>2924.01</v>
      </c>
      <c r="M16" s="362">
        <f t="shared" si="2"/>
        <v>2924.01</v>
      </c>
      <c r="N16" s="362">
        <f t="shared" si="2"/>
        <v>0</v>
      </c>
      <c r="O16" s="362">
        <f t="shared" si="2"/>
        <v>691371.2</v>
      </c>
    </row>
    <row r="17" spans="1:15" s="353" customFormat="1" ht="150" x14ac:dyDescent="0.2">
      <c r="A17" s="346">
        <v>1</v>
      </c>
      <c r="B17" s="347" t="s">
        <v>1657</v>
      </c>
      <c r="C17" s="348" t="s">
        <v>1662</v>
      </c>
      <c r="D17" s="346" t="s">
        <v>1663</v>
      </c>
      <c r="E17" s="349" t="s">
        <v>1664</v>
      </c>
      <c r="F17" s="350" t="s">
        <v>360</v>
      </c>
      <c r="G17" s="350" t="s">
        <v>1665</v>
      </c>
      <c r="H17" s="351" t="s">
        <v>1929</v>
      </c>
      <c r="I17" s="352">
        <v>237500</v>
      </c>
      <c r="J17" s="352">
        <v>19000</v>
      </c>
      <c r="K17" s="352">
        <v>19000</v>
      </c>
      <c r="L17" s="352">
        <v>0</v>
      </c>
      <c r="M17" s="352">
        <v>0</v>
      </c>
      <c r="N17" s="352">
        <v>0</v>
      </c>
      <c r="O17" s="352">
        <f t="shared" ref="O17:O26" si="3">+I17-(SUM(J17:N17))</f>
        <v>199500</v>
      </c>
    </row>
    <row r="18" spans="1:15" s="353" customFormat="1" ht="150" x14ac:dyDescent="0.2">
      <c r="A18" s="346">
        <v>2</v>
      </c>
      <c r="B18" s="347" t="s">
        <v>1671</v>
      </c>
      <c r="C18" s="348" t="s">
        <v>1672</v>
      </c>
      <c r="D18" s="346" t="s">
        <v>1673</v>
      </c>
      <c r="E18" s="349" t="s">
        <v>1115</v>
      </c>
      <c r="F18" s="350" t="s">
        <v>360</v>
      </c>
      <c r="G18" s="350" t="s">
        <v>1116</v>
      </c>
      <c r="H18" s="351" t="s">
        <v>1930</v>
      </c>
      <c r="I18" s="352">
        <v>162319.29999999999</v>
      </c>
      <c r="J18" s="352">
        <v>0</v>
      </c>
      <c r="K18" s="352">
        <v>0</v>
      </c>
      <c r="L18" s="352">
        <v>2924.01</v>
      </c>
      <c r="M18" s="352">
        <v>2924.01</v>
      </c>
      <c r="N18" s="352">
        <v>0</v>
      </c>
      <c r="O18" s="352">
        <f t="shared" si="3"/>
        <v>156471.28</v>
      </c>
    </row>
    <row r="19" spans="1:15" s="353" customFormat="1" ht="150" x14ac:dyDescent="0.2">
      <c r="A19" s="346">
        <v>3</v>
      </c>
      <c r="B19" s="347" t="s">
        <v>1674</v>
      </c>
      <c r="C19" s="348" t="s">
        <v>1678</v>
      </c>
      <c r="D19" s="346" t="s">
        <v>1679</v>
      </c>
      <c r="E19" s="349" t="s">
        <v>1664</v>
      </c>
      <c r="F19" s="350" t="s">
        <v>360</v>
      </c>
      <c r="G19" s="350" t="s">
        <v>1665</v>
      </c>
      <c r="H19" s="351" t="s">
        <v>1931</v>
      </c>
      <c r="I19" s="352">
        <v>12500</v>
      </c>
      <c r="J19" s="352">
        <v>1000</v>
      </c>
      <c r="K19" s="352">
        <v>1000</v>
      </c>
      <c r="L19" s="352">
        <v>0</v>
      </c>
      <c r="M19" s="352">
        <v>0</v>
      </c>
      <c r="N19" s="352">
        <v>0</v>
      </c>
      <c r="O19" s="352">
        <f t="shared" si="3"/>
        <v>10500</v>
      </c>
    </row>
    <row r="20" spans="1:15" s="353" customFormat="1" ht="150" x14ac:dyDescent="0.2">
      <c r="A20" s="346">
        <v>4</v>
      </c>
      <c r="B20" s="347" t="s">
        <v>1680</v>
      </c>
      <c r="C20" s="348" t="s">
        <v>1681</v>
      </c>
      <c r="D20" s="346" t="s">
        <v>1682</v>
      </c>
      <c r="E20" s="349" t="s">
        <v>1115</v>
      </c>
      <c r="F20" s="350" t="s">
        <v>360</v>
      </c>
      <c r="G20" s="350" t="s">
        <v>1116</v>
      </c>
      <c r="H20" s="351" t="s">
        <v>1932</v>
      </c>
      <c r="I20" s="352">
        <v>64927.72</v>
      </c>
      <c r="J20" s="352">
        <v>0</v>
      </c>
      <c r="K20" s="352">
        <v>0</v>
      </c>
      <c r="L20" s="352">
        <v>0</v>
      </c>
      <c r="M20" s="352">
        <v>0</v>
      </c>
      <c r="N20" s="355" t="s">
        <v>1683</v>
      </c>
      <c r="O20" s="352">
        <f t="shared" si="3"/>
        <v>64927.72</v>
      </c>
    </row>
    <row r="21" spans="1:15" s="353" customFormat="1" ht="150" x14ac:dyDescent="0.2">
      <c r="A21" s="346">
        <v>5</v>
      </c>
      <c r="B21" s="347" t="s">
        <v>1680</v>
      </c>
      <c r="C21" s="348" t="s">
        <v>1684</v>
      </c>
      <c r="D21" s="346" t="s">
        <v>1682</v>
      </c>
      <c r="E21" s="349" t="s">
        <v>1115</v>
      </c>
      <c r="F21" s="350" t="s">
        <v>360</v>
      </c>
      <c r="G21" s="350" t="s">
        <v>1116</v>
      </c>
      <c r="H21" s="351" t="s">
        <v>1933</v>
      </c>
      <c r="I21" s="352">
        <v>12486.1</v>
      </c>
      <c r="J21" s="352">
        <v>0</v>
      </c>
      <c r="K21" s="352">
        <v>0</v>
      </c>
      <c r="L21" s="352">
        <v>0</v>
      </c>
      <c r="M21" s="352">
        <v>0</v>
      </c>
      <c r="N21" s="355" t="s">
        <v>1683</v>
      </c>
      <c r="O21" s="352">
        <f t="shared" si="3"/>
        <v>12486.1</v>
      </c>
    </row>
    <row r="22" spans="1:15" s="353" customFormat="1" ht="150" x14ac:dyDescent="0.2">
      <c r="A22" s="346">
        <v>6</v>
      </c>
      <c r="B22" s="347" t="s">
        <v>1680</v>
      </c>
      <c r="C22" s="348" t="s">
        <v>1685</v>
      </c>
      <c r="D22" s="346" t="s">
        <v>1682</v>
      </c>
      <c r="E22" s="349" t="s">
        <v>1115</v>
      </c>
      <c r="F22" s="350" t="s">
        <v>360</v>
      </c>
      <c r="G22" s="350" t="s">
        <v>1116</v>
      </c>
      <c r="H22" s="351" t="s">
        <v>1934</v>
      </c>
      <c r="I22" s="352">
        <v>4994.4399999999996</v>
      </c>
      <c r="J22" s="352">
        <v>0</v>
      </c>
      <c r="K22" s="352">
        <v>0</v>
      </c>
      <c r="L22" s="352">
        <v>0</v>
      </c>
      <c r="M22" s="352">
        <v>0</v>
      </c>
      <c r="N22" s="355" t="s">
        <v>1683</v>
      </c>
      <c r="O22" s="352">
        <f t="shared" si="3"/>
        <v>4994.4399999999996</v>
      </c>
    </row>
    <row r="23" spans="1:15" s="353" customFormat="1" ht="150" x14ac:dyDescent="0.2">
      <c r="A23" s="346">
        <v>7</v>
      </c>
      <c r="B23" s="347" t="s">
        <v>1749</v>
      </c>
      <c r="C23" s="348" t="s">
        <v>1753</v>
      </c>
      <c r="D23" s="346" t="s">
        <v>1754</v>
      </c>
      <c r="E23" s="349" t="s">
        <v>1115</v>
      </c>
      <c r="F23" s="350" t="s">
        <v>360</v>
      </c>
      <c r="G23" s="350" t="s">
        <v>1116</v>
      </c>
      <c r="H23" s="351" t="s">
        <v>1935</v>
      </c>
      <c r="I23" s="352">
        <v>7491.66</v>
      </c>
      <c r="J23" s="352">
        <v>0</v>
      </c>
      <c r="K23" s="352">
        <v>0</v>
      </c>
      <c r="L23" s="352">
        <v>0</v>
      </c>
      <c r="M23" s="352">
        <v>0</v>
      </c>
      <c r="N23" s="355" t="s">
        <v>1683</v>
      </c>
      <c r="O23" s="352">
        <f t="shared" si="3"/>
        <v>7491.66</v>
      </c>
    </row>
    <row r="24" spans="1:15" s="353" customFormat="1" ht="150" x14ac:dyDescent="0.2">
      <c r="A24" s="346">
        <v>8</v>
      </c>
      <c r="B24" s="347" t="s">
        <v>1778</v>
      </c>
      <c r="C24" s="348" t="s">
        <v>1779</v>
      </c>
      <c r="D24" s="346" t="s">
        <v>1780</v>
      </c>
      <c r="E24" s="349" t="s">
        <v>1664</v>
      </c>
      <c r="F24" s="350" t="s">
        <v>360</v>
      </c>
      <c r="G24" s="350" t="s">
        <v>1781</v>
      </c>
      <c r="H24" s="351" t="s">
        <v>1936</v>
      </c>
      <c r="I24" s="352">
        <v>150000</v>
      </c>
      <c r="J24" s="352">
        <v>12000</v>
      </c>
      <c r="K24" s="352">
        <v>12000</v>
      </c>
      <c r="L24" s="352">
        <v>0</v>
      </c>
      <c r="M24" s="352">
        <v>0</v>
      </c>
      <c r="N24" s="352">
        <v>0</v>
      </c>
      <c r="O24" s="352">
        <f t="shared" si="3"/>
        <v>126000</v>
      </c>
    </row>
    <row r="25" spans="1:15" s="353" customFormat="1" ht="150" x14ac:dyDescent="0.2">
      <c r="A25" s="346">
        <v>9</v>
      </c>
      <c r="B25" s="347" t="s">
        <v>1820</v>
      </c>
      <c r="C25" s="348" t="s">
        <v>1821</v>
      </c>
      <c r="D25" s="346" t="s">
        <v>1822</v>
      </c>
      <c r="E25" s="349" t="s">
        <v>1664</v>
      </c>
      <c r="F25" s="350" t="s">
        <v>360</v>
      </c>
      <c r="G25" s="350" t="s">
        <v>1781</v>
      </c>
      <c r="H25" s="351" t="s">
        <v>1937</v>
      </c>
      <c r="I25" s="352">
        <v>100000</v>
      </c>
      <c r="J25" s="352">
        <v>8000</v>
      </c>
      <c r="K25" s="352">
        <v>8000</v>
      </c>
      <c r="L25" s="352">
        <v>0</v>
      </c>
      <c r="M25" s="352">
        <v>0</v>
      </c>
      <c r="N25" s="352">
        <v>0</v>
      </c>
      <c r="O25" s="352">
        <f t="shared" si="3"/>
        <v>84000</v>
      </c>
    </row>
    <row r="26" spans="1:15" s="353" customFormat="1" ht="150" x14ac:dyDescent="0.2">
      <c r="A26" s="346">
        <v>10</v>
      </c>
      <c r="B26" s="347">
        <v>243161</v>
      </c>
      <c r="C26" s="348" t="s">
        <v>1109</v>
      </c>
      <c r="D26" s="346" t="s">
        <v>1852</v>
      </c>
      <c r="E26" s="349" t="s">
        <v>1664</v>
      </c>
      <c r="F26" s="350" t="s">
        <v>360</v>
      </c>
      <c r="G26" s="350" t="s">
        <v>1781</v>
      </c>
      <c r="H26" s="351" t="s">
        <v>1938</v>
      </c>
      <c r="I26" s="352">
        <v>25000</v>
      </c>
      <c r="J26" s="352">
        <v>0</v>
      </c>
      <c r="K26" s="352">
        <v>0</v>
      </c>
      <c r="L26" s="352">
        <v>0</v>
      </c>
      <c r="M26" s="352">
        <v>0</v>
      </c>
      <c r="N26" s="355" t="s">
        <v>1853</v>
      </c>
      <c r="O26" s="352">
        <f t="shared" si="3"/>
        <v>25000</v>
      </c>
    </row>
    <row r="27" spans="1:15" s="353" customFormat="1" x14ac:dyDescent="0.2">
      <c r="A27" s="356" t="s">
        <v>1693</v>
      </c>
      <c r="B27" s="357"/>
      <c r="C27" s="358"/>
      <c r="D27" s="359"/>
      <c r="E27" s="356"/>
      <c r="F27" s="360"/>
      <c r="G27" s="360"/>
      <c r="H27" s="361"/>
      <c r="I27" s="362">
        <f t="shared" ref="I27:O27" si="4">SUM(I28:I51)</f>
        <v>8462923.2699999996</v>
      </c>
      <c r="J27" s="362">
        <f t="shared" si="4"/>
        <v>241939.98999999996</v>
      </c>
      <c r="K27" s="362">
        <f t="shared" si="4"/>
        <v>241939.98999999996</v>
      </c>
      <c r="L27" s="362">
        <f t="shared" si="4"/>
        <v>289791</v>
      </c>
      <c r="M27" s="362">
        <f t="shared" si="4"/>
        <v>289791</v>
      </c>
      <c r="N27" s="362">
        <f t="shared" si="4"/>
        <v>0</v>
      </c>
      <c r="O27" s="362">
        <f t="shared" si="4"/>
        <v>7399461.29</v>
      </c>
    </row>
    <row r="28" spans="1:15" s="353" customFormat="1" ht="131.25" x14ac:dyDescent="0.2">
      <c r="A28" s="346">
        <v>1</v>
      </c>
      <c r="B28" s="347" t="s">
        <v>905</v>
      </c>
      <c r="C28" s="348" t="s">
        <v>906</v>
      </c>
      <c r="D28" s="346" t="s">
        <v>907</v>
      </c>
      <c r="E28" s="349" t="s">
        <v>647</v>
      </c>
      <c r="F28" s="350" t="s">
        <v>161</v>
      </c>
      <c r="G28" s="350" t="s">
        <v>908</v>
      </c>
      <c r="H28" s="351" t="s">
        <v>1939</v>
      </c>
      <c r="I28" s="352">
        <f>60000+540000</f>
        <v>600000</v>
      </c>
      <c r="J28" s="352">
        <v>30000</v>
      </c>
      <c r="K28" s="352">
        <v>30000</v>
      </c>
      <c r="L28" s="352">
        <v>0</v>
      </c>
      <c r="M28" s="352">
        <v>0</v>
      </c>
      <c r="N28" s="352">
        <v>0</v>
      </c>
      <c r="O28" s="352">
        <f t="shared" ref="O28:O51" si="5">+I28-(SUM(J28:N28))</f>
        <v>540000</v>
      </c>
    </row>
    <row r="29" spans="1:15" s="353" customFormat="1" ht="112.5" x14ac:dyDescent="0.2">
      <c r="A29" s="346">
        <v>2</v>
      </c>
      <c r="B29" s="347" t="s">
        <v>905</v>
      </c>
      <c r="C29" s="348" t="s">
        <v>909</v>
      </c>
      <c r="D29" s="346" t="s">
        <v>910</v>
      </c>
      <c r="E29" s="349" t="s">
        <v>911</v>
      </c>
      <c r="F29" s="350" t="s">
        <v>161</v>
      </c>
      <c r="G29" s="350" t="s">
        <v>908</v>
      </c>
      <c r="H29" s="351" t="s">
        <v>1940</v>
      </c>
      <c r="I29" s="352">
        <f>34190+307710</f>
        <v>341900</v>
      </c>
      <c r="J29" s="352">
        <v>17095</v>
      </c>
      <c r="K29" s="352">
        <v>17095</v>
      </c>
      <c r="L29" s="352">
        <v>0</v>
      </c>
      <c r="M29" s="352">
        <v>0</v>
      </c>
      <c r="N29" s="352">
        <v>0</v>
      </c>
      <c r="O29" s="352">
        <f t="shared" si="5"/>
        <v>307710</v>
      </c>
    </row>
    <row r="30" spans="1:15" s="353" customFormat="1" ht="93.75" x14ac:dyDescent="0.2">
      <c r="A30" s="346">
        <v>3</v>
      </c>
      <c r="B30" s="347" t="s">
        <v>905</v>
      </c>
      <c r="C30" s="348" t="s">
        <v>912</v>
      </c>
      <c r="D30" s="346" t="s">
        <v>913</v>
      </c>
      <c r="E30" s="349" t="s">
        <v>914</v>
      </c>
      <c r="F30" s="350" t="s">
        <v>161</v>
      </c>
      <c r="G30" s="350" t="s">
        <v>915</v>
      </c>
      <c r="H30" s="351" t="s">
        <v>1941</v>
      </c>
      <c r="I30" s="352">
        <v>10000</v>
      </c>
      <c r="J30" s="352">
        <v>800</v>
      </c>
      <c r="K30" s="352">
        <v>800</v>
      </c>
      <c r="L30" s="352">
        <v>0</v>
      </c>
      <c r="M30" s="352">
        <v>0</v>
      </c>
      <c r="N30" s="352">
        <v>0</v>
      </c>
      <c r="O30" s="352">
        <f t="shared" si="5"/>
        <v>8400</v>
      </c>
    </row>
    <row r="31" spans="1:15" s="353" customFormat="1" ht="131.25" x14ac:dyDescent="0.2">
      <c r="A31" s="346">
        <v>4</v>
      </c>
      <c r="B31" s="347" t="s">
        <v>1623</v>
      </c>
      <c r="C31" s="348" t="s">
        <v>1624</v>
      </c>
      <c r="D31" s="346" t="s">
        <v>1625</v>
      </c>
      <c r="E31" s="349" t="s">
        <v>969</v>
      </c>
      <c r="F31" s="350" t="s">
        <v>161</v>
      </c>
      <c r="G31" s="350" t="s">
        <v>1626</v>
      </c>
      <c r="H31" s="351" t="s">
        <v>1942</v>
      </c>
      <c r="I31" s="352">
        <v>39546</v>
      </c>
      <c r="J31" s="352">
        <v>1977.3</v>
      </c>
      <c r="K31" s="352">
        <v>1977.3</v>
      </c>
      <c r="L31" s="352">
        <v>0</v>
      </c>
      <c r="M31" s="352">
        <v>0</v>
      </c>
      <c r="N31" s="352">
        <v>0</v>
      </c>
      <c r="O31" s="352">
        <f t="shared" si="5"/>
        <v>35591.4</v>
      </c>
    </row>
    <row r="32" spans="1:15" s="353" customFormat="1" ht="93.75" x14ac:dyDescent="0.2">
      <c r="A32" s="346">
        <v>5</v>
      </c>
      <c r="B32" s="347" t="s">
        <v>1649</v>
      </c>
      <c r="C32" s="348" t="s">
        <v>1650</v>
      </c>
      <c r="D32" s="346" t="s">
        <v>1651</v>
      </c>
      <c r="E32" s="349" t="s">
        <v>914</v>
      </c>
      <c r="F32" s="350" t="s">
        <v>161</v>
      </c>
      <c r="G32" s="350" t="s">
        <v>915</v>
      </c>
      <c r="H32" s="351" t="s">
        <v>1943</v>
      </c>
      <c r="I32" s="352">
        <v>10000</v>
      </c>
      <c r="J32" s="352">
        <v>800</v>
      </c>
      <c r="K32" s="352">
        <v>800</v>
      </c>
      <c r="L32" s="352">
        <v>0</v>
      </c>
      <c r="M32" s="352">
        <v>0</v>
      </c>
      <c r="N32" s="352">
        <v>0</v>
      </c>
      <c r="O32" s="352">
        <f t="shared" si="5"/>
        <v>8400</v>
      </c>
    </row>
    <row r="33" spans="1:15" s="353" customFormat="1" ht="93.75" x14ac:dyDescent="0.2">
      <c r="A33" s="346">
        <v>6</v>
      </c>
      <c r="B33" s="347" t="s">
        <v>1657</v>
      </c>
      <c r="C33" s="348" t="s">
        <v>1658</v>
      </c>
      <c r="D33" s="346" t="s">
        <v>1659</v>
      </c>
      <c r="E33" s="349" t="s">
        <v>1660</v>
      </c>
      <c r="F33" s="350" t="s">
        <v>161</v>
      </c>
      <c r="G33" s="350" t="s">
        <v>1103</v>
      </c>
      <c r="H33" s="351" t="s">
        <v>1661</v>
      </c>
      <c r="I33" s="352">
        <v>41000</v>
      </c>
      <c r="J33" s="352">
        <v>0</v>
      </c>
      <c r="K33" s="352">
        <v>0</v>
      </c>
      <c r="L33" s="352">
        <v>20500</v>
      </c>
      <c r="M33" s="352">
        <v>20500</v>
      </c>
      <c r="N33" s="352">
        <v>0</v>
      </c>
      <c r="O33" s="352">
        <f t="shared" si="5"/>
        <v>0</v>
      </c>
    </row>
    <row r="34" spans="1:15" s="353" customFormat="1" ht="112.5" x14ac:dyDescent="0.2">
      <c r="A34" s="346">
        <v>7</v>
      </c>
      <c r="B34" s="347" t="s">
        <v>1657</v>
      </c>
      <c r="C34" s="348" t="s">
        <v>1668</v>
      </c>
      <c r="D34" s="346" t="s">
        <v>1669</v>
      </c>
      <c r="E34" s="349" t="s">
        <v>1018</v>
      </c>
      <c r="F34" s="350" t="s">
        <v>161</v>
      </c>
      <c r="G34" s="350" t="s">
        <v>1670</v>
      </c>
      <c r="H34" s="351" t="s">
        <v>1944</v>
      </c>
      <c r="I34" s="352">
        <v>80000</v>
      </c>
      <c r="J34" s="352">
        <v>4000</v>
      </c>
      <c r="K34" s="352">
        <v>4000</v>
      </c>
      <c r="L34" s="352">
        <v>0</v>
      </c>
      <c r="M34" s="352">
        <v>0</v>
      </c>
      <c r="N34" s="352">
        <v>0</v>
      </c>
      <c r="O34" s="352">
        <f t="shared" si="5"/>
        <v>72000</v>
      </c>
    </row>
    <row r="35" spans="1:15" s="353" customFormat="1" ht="131.25" x14ac:dyDescent="0.2">
      <c r="A35" s="346">
        <v>8</v>
      </c>
      <c r="B35" s="347" t="s">
        <v>1680</v>
      </c>
      <c r="C35" s="348" t="s">
        <v>1686</v>
      </c>
      <c r="D35" s="346" t="s">
        <v>1687</v>
      </c>
      <c r="E35" s="349" t="s">
        <v>1688</v>
      </c>
      <c r="F35" s="350" t="s">
        <v>161</v>
      </c>
      <c r="G35" s="350" t="s">
        <v>1689</v>
      </c>
      <c r="H35" s="351" t="s">
        <v>1945</v>
      </c>
      <c r="I35" s="352">
        <v>216000</v>
      </c>
      <c r="J35" s="352">
        <v>0</v>
      </c>
      <c r="K35" s="352">
        <v>0</v>
      </c>
      <c r="L35" s="352">
        <v>0</v>
      </c>
      <c r="M35" s="352">
        <v>0</v>
      </c>
      <c r="N35" s="355" t="s">
        <v>1748</v>
      </c>
      <c r="O35" s="352">
        <f t="shared" si="5"/>
        <v>216000</v>
      </c>
    </row>
    <row r="36" spans="1:15" s="353" customFormat="1" ht="112.5" x14ac:dyDescent="0.2">
      <c r="A36" s="346">
        <v>9</v>
      </c>
      <c r="B36" s="347" t="s">
        <v>1690</v>
      </c>
      <c r="C36" s="348" t="s">
        <v>1691</v>
      </c>
      <c r="D36" s="346" t="s">
        <v>1692</v>
      </c>
      <c r="E36" s="349" t="s">
        <v>914</v>
      </c>
      <c r="F36" s="350" t="s">
        <v>1693</v>
      </c>
      <c r="G36" s="350" t="s">
        <v>1689</v>
      </c>
      <c r="H36" s="351" t="s">
        <v>1946</v>
      </c>
      <c r="I36" s="352">
        <v>1000000</v>
      </c>
      <c r="J36" s="352">
        <v>80000</v>
      </c>
      <c r="K36" s="352">
        <v>80000</v>
      </c>
      <c r="L36" s="352">
        <v>0</v>
      </c>
      <c r="M36" s="352">
        <v>0</v>
      </c>
      <c r="N36" s="352">
        <v>0</v>
      </c>
      <c r="O36" s="352">
        <f>+I36-(SUM(J36:N36))</f>
        <v>840000</v>
      </c>
    </row>
    <row r="37" spans="1:15" s="353" customFormat="1" ht="131.25" x14ac:dyDescent="0.2">
      <c r="A37" s="346">
        <v>10</v>
      </c>
      <c r="B37" s="347" t="s">
        <v>1755</v>
      </c>
      <c r="C37" s="348" t="s">
        <v>1756</v>
      </c>
      <c r="D37" s="346" t="s">
        <v>1757</v>
      </c>
      <c r="E37" s="349" t="s">
        <v>914</v>
      </c>
      <c r="F37" s="350" t="s">
        <v>1693</v>
      </c>
      <c r="G37" s="350" t="s">
        <v>1758</v>
      </c>
      <c r="H37" s="351" t="s">
        <v>1947</v>
      </c>
      <c r="I37" s="352">
        <v>794865</v>
      </c>
      <c r="J37" s="352">
        <v>0</v>
      </c>
      <c r="K37" s="352">
        <v>0</v>
      </c>
      <c r="L37" s="352">
        <v>59614.879999999997</v>
      </c>
      <c r="M37" s="352">
        <v>59614.87</v>
      </c>
      <c r="N37" s="352">
        <v>0</v>
      </c>
      <c r="O37" s="352">
        <f>+I37-(SUM(J37:N37))</f>
        <v>675635.25</v>
      </c>
    </row>
    <row r="38" spans="1:15" s="353" customFormat="1" ht="112.5" x14ac:dyDescent="0.2">
      <c r="A38" s="346">
        <v>11</v>
      </c>
      <c r="B38" s="347" t="s">
        <v>1769</v>
      </c>
      <c r="C38" s="348" t="s">
        <v>1770</v>
      </c>
      <c r="D38" s="346" t="s">
        <v>1771</v>
      </c>
      <c r="E38" s="349" t="s">
        <v>957</v>
      </c>
      <c r="F38" s="350" t="s">
        <v>1693</v>
      </c>
      <c r="G38" s="350" t="s">
        <v>1198</v>
      </c>
      <c r="H38" s="351" t="s">
        <v>1948</v>
      </c>
      <c r="I38" s="352">
        <v>139696</v>
      </c>
      <c r="J38" s="352">
        <v>6984.8</v>
      </c>
      <c r="K38" s="352">
        <v>6984.8</v>
      </c>
      <c r="L38" s="352">
        <v>0</v>
      </c>
      <c r="M38" s="352">
        <v>0</v>
      </c>
      <c r="N38" s="352">
        <v>0</v>
      </c>
      <c r="O38" s="352">
        <f>+I38-(SUM(J38:N38))</f>
        <v>125726.39999999999</v>
      </c>
    </row>
    <row r="39" spans="1:15" s="353" customFormat="1" ht="187.5" x14ac:dyDescent="0.2">
      <c r="A39" s="346">
        <v>12</v>
      </c>
      <c r="B39" s="347" t="s">
        <v>1782</v>
      </c>
      <c r="C39" s="348" t="s">
        <v>1787</v>
      </c>
      <c r="D39" s="346" t="s">
        <v>1788</v>
      </c>
      <c r="E39" s="349" t="s">
        <v>1789</v>
      </c>
      <c r="F39" s="350" t="s">
        <v>161</v>
      </c>
      <c r="G39" s="350" t="s">
        <v>930</v>
      </c>
      <c r="H39" s="351" t="s">
        <v>1949</v>
      </c>
      <c r="I39" s="352">
        <v>94526.5</v>
      </c>
      <c r="J39" s="352">
        <v>0</v>
      </c>
      <c r="K39" s="352">
        <v>0</v>
      </c>
      <c r="L39" s="352">
        <v>0</v>
      </c>
      <c r="M39" s="352">
        <v>0</v>
      </c>
      <c r="N39" s="355" t="s">
        <v>1786</v>
      </c>
      <c r="O39" s="352">
        <f t="shared" si="5"/>
        <v>94526.5</v>
      </c>
    </row>
    <row r="40" spans="1:15" s="353" customFormat="1" ht="168.75" x14ac:dyDescent="0.2">
      <c r="A40" s="346">
        <v>13</v>
      </c>
      <c r="B40" s="347" t="s">
        <v>1782</v>
      </c>
      <c r="C40" s="348" t="s">
        <v>1787</v>
      </c>
      <c r="D40" s="346" t="s">
        <v>1788</v>
      </c>
      <c r="E40" s="349" t="s">
        <v>1790</v>
      </c>
      <c r="F40" s="350" t="s">
        <v>161</v>
      </c>
      <c r="G40" s="350" t="s">
        <v>930</v>
      </c>
      <c r="H40" s="351" t="s">
        <v>1950</v>
      </c>
      <c r="I40" s="352">
        <v>416753</v>
      </c>
      <c r="J40" s="352">
        <v>0</v>
      </c>
      <c r="K40" s="352">
        <v>0</v>
      </c>
      <c r="L40" s="352">
        <v>0</v>
      </c>
      <c r="M40" s="352">
        <v>0</v>
      </c>
      <c r="N40" s="355" t="s">
        <v>1786</v>
      </c>
      <c r="O40" s="352">
        <f t="shared" si="5"/>
        <v>416753</v>
      </c>
    </row>
    <row r="41" spans="1:15" s="353" customFormat="1" ht="131.25" x14ac:dyDescent="0.2">
      <c r="A41" s="346">
        <v>14</v>
      </c>
      <c r="B41" s="347" t="s">
        <v>1804</v>
      </c>
      <c r="C41" s="348" t="s">
        <v>1805</v>
      </c>
      <c r="D41" s="346" t="s">
        <v>1806</v>
      </c>
      <c r="E41" s="349" t="s">
        <v>914</v>
      </c>
      <c r="F41" s="350" t="s">
        <v>1693</v>
      </c>
      <c r="G41" s="350" t="s">
        <v>1752</v>
      </c>
      <c r="H41" s="351" t="s">
        <v>1951</v>
      </c>
      <c r="I41" s="352">
        <v>610000</v>
      </c>
      <c r="J41" s="352">
        <v>48800</v>
      </c>
      <c r="K41" s="352">
        <v>48800</v>
      </c>
      <c r="L41" s="352">
        <v>0</v>
      </c>
      <c r="M41" s="352">
        <v>0</v>
      </c>
      <c r="N41" s="352">
        <v>0</v>
      </c>
      <c r="O41" s="352">
        <f>+I41-(SUM(J41:N41))</f>
        <v>512400</v>
      </c>
    </row>
    <row r="42" spans="1:15" s="353" customFormat="1" ht="131.25" x14ac:dyDescent="0.2">
      <c r="A42" s="346">
        <v>15</v>
      </c>
      <c r="B42" s="347" t="s">
        <v>1807</v>
      </c>
      <c r="C42" s="348" t="s">
        <v>1808</v>
      </c>
      <c r="D42" s="346" t="s">
        <v>1809</v>
      </c>
      <c r="E42" s="349" t="s">
        <v>1810</v>
      </c>
      <c r="F42" s="350" t="s">
        <v>161</v>
      </c>
      <c r="G42" s="350" t="s">
        <v>1763</v>
      </c>
      <c r="H42" s="351" t="s">
        <v>1952</v>
      </c>
      <c r="I42" s="352">
        <v>1122274</v>
      </c>
      <c r="J42" s="352">
        <v>0</v>
      </c>
      <c r="K42" s="352">
        <v>0</v>
      </c>
      <c r="L42" s="352">
        <v>0</v>
      </c>
      <c r="M42" s="352">
        <v>0</v>
      </c>
      <c r="N42" s="355" t="s">
        <v>1786</v>
      </c>
      <c r="O42" s="352">
        <f t="shared" si="5"/>
        <v>1122274</v>
      </c>
    </row>
    <row r="43" spans="1:15" s="353" customFormat="1" ht="112.5" x14ac:dyDescent="0.2">
      <c r="A43" s="346">
        <v>16</v>
      </c>
      <c r="B43" s="347" t="s">
        <v>1826</v>
      </c>
      <c r="C43" s="348" t="s">
        <v>1827</v>
      </c>
      <c r="D43" s="346" t="s">
        <v>1828</v>
      </c>
      <c r="E43" s="349" t="s">
        <v>1018</v>
      </c>
      <c r="F43" s="350" t="s">
        <v>161</v>
      </c>
      <c r="G43" s="350" t="s">
        <v>1670</v>
      </c>
      <c r="H43" s="351" t="s">
        <v>1953</v>
      </c>
      <c r="I43" s="352">
        <v>90000</v>
      </c>
      <c r="J43" s="352">
        <v>0</v>
      </c>
      <c r="K43" s="352">
        <v>0</v>
      </c>
      <c r="L43" s="352">
        <v>3156</v>
      </c>
      <c r="M43" s="352">
        <v>3156</v>
      </c>
      <c r="N43" s="352">
        <v>0</v>
      </c>
      <c r="O43" s="352">
        <f t="shared" si="5"/>
        <v>83688</v>
      </c>
    </row>
    <row r="44" spans="1:15" s="353" customFormat="1" ht="75" x14ac:dyDescent="0.2">
      <c r="A44" s="346">
        <v>17</v>
      </c>
      <c r="B44" s="347" t="s">
        <v>1829</v>
      </c>
      <c r="C44" s="348" t="s">
        <v>1830</v>
      </c>
      <c r="D44" s="346" t="s">
        <v>1831</v>
      </c>
      <c r="E44" s="349" t="s">
        <v>1832</v>
      </c>
      <c r="F44" s="350" t="s">
        <v>161</v>
      </c>
      <c r="G44" s="350" t="s">
        <v>1103</v>
      </c>
      <c r="H44" s="351" t="s">
        <v>1833</v>
      </c>
      <c r="I44" s="352">
        <v>113920</v>
      </c>
      <c r="J44" s="352">
        <v>0</v>
      </c>
      <c r="K44" s="352">
        <v>0</v>
      </c>
      <c r="L44" s="352">
        <v>56960</v>
      </c>
      <c r="M44" s="352">
        <v>56960</v>
      </c>
      <c r="N44" s="352">
        <v>0</v>
      </c>
      <c r="O44" s="352">
        <f t="shared" si="5"/>
        <v>0</v>
      </c>
    </row>
    <row r="45" spans="1:15" s="353" customFormat="1" ht="131.25" x14ac:dyDescent="0.2">
      <c r="A45" s="346">
        <v>18</v>
      </c>
      <c r="B45" s="347">
        <v>243161</v>
      </c>
      <c r="C45" s="348" t="s">
        <v>1109</v>
      </c>
      <c r="D45" s="346" t="s">
        <v>1838</v>
      </c>
      <c r="E45" s="349" t="s">
        <v>914</v>
      </c>
      <c r="F45" s="350" t="s">
        <v>161</v>
      </c>
      <c r="G45" s="350" t="s">
        <v>1758</v>
      </c>
      <c r="H45" s="351" t="s">
        <v>1954</v>
      </c>
      <c r="I45" s="352">
        <v>1059820</v>
      </c>
      <c r="J45" s="352">
        <v>0</v>
      </c>
      <c r="K45" s="352">
        <v>0</v>
      </c>
      <c r="L45" s="352">
        <v>79486.5</v>
      </c>
      <c r="M45" s="352">
        <v>79486.5</v>
      </c>
      <c r="N45" s="363">
        <v>0</v>
      </c>
      <c r="O45" s="352">
        <f t="shared" si="5"/>
        <v>900847</v>
      </c>
    </row>
    <row r="46" spans="1:15" s="353" customFormat="1" ht="112.5" x14ac:dyDescent="0.2">
      <c r="A46" s="346">
        <v>19</v>
      </c>
      <c r="B46" s="347">
        <v>243161</v>
      </c>
      <c r="C46" s="348" t="s">
        <v>1109</v>
      </c>
      <c r="D46" s="346" t="s">
        <v>1839</v>
      </c>
      <c r="E46" s="349" t="s">
        <v>957</v>
      </c>
      <c r="F46" s="350" t="s">
        <v>161</v>
      </c>
      <c r="G46" s="350" t="s">
        <v>1198</v>
      </c>
      <c r="H46" s="351" t="s">
        <v>1955</v>
      </c>
      <c r="I46" s="352">
        <v>279391</v>
      </c>
      <c r="J46" s="352">
        <v>13969.55</v>
      </c>
      <c r="K46" s="352">
        <v>13969.550000000001</v>
      </c>
      <c r="L46" s="352">
        <v>0</v>
      </c>
      <c r="M46" s="352">
        <v>0</v>
      </c>
      <c r="N46" s="363">
        <v>0</v>
      </c>
      <c r="O46" s="352">
        <f t="shared" si="5"/>
        <v>251451.9</v>
      </c>
    </row>
    <row r="47" spans="1:15" s="353" customFormat="1" ht="168.75" x14ac:dyDescent="0.2">
      <c r="A47" s="346">
        <v>20</v>
      </c>
      <c r="B47" s="347">
        <v>243161</v>
      </c>
      <c r="C47" s="348" t="s">
        <v>1109</v>
      </c>
      <c r="D47" s="346" t="s">
        <v>1840</v>
      </c>
      <c r="E47" s="349" t="s">
        <v>1841</v>
      </c>
      <c r="F47" s="350" t="s">
        <v>161</v>
      </c>
      <c r="G47" s="350" t="s">
        <v>1758</v>
      </c>
      <c r="H47" s="351" t="s">
        <v>1956</v>
      </c>
      <c r="I47" s="352">
        <f>468904.77+12</f>
        <v>468916.77</v>
      </c>
      <c r="J47" s="352">
        <v>37513.339999999997</v>
      </c>
      <c r="K47" s="352">
        <v>37513.339999999997</v>
      </c>
      <c r="L47" s="352">
        <v>0</v>
      </c>
      <c r="M47" s="352">
        <v>0</v>
      </c>
      <c r="N47" s="363">
        <v>0</v>
      </c>
      <c r="O47" s="352">
        <f t="shared" si="5"/>
        <v>393890.09</v>
      </c>
    </row>
    <row r="48" spans="1:15" s="353" customFormat="1" ht="131.25" x14ac:dyDescent="0.2">
      <c r="A48" s="346">
        <v>21</v>
      </c>
      <c r="B48" s="347">
        <v>243161</v>
      </c>
      <c r="C48" s="348" t="s">
        <v>1109</v>
      </c>
      <c r="D48" s="346" t="s">
        <v>1842</v>
      </c>
      <c r="E48" s="349" t="s">
        <v>914</v>
      </c>
      <c r="F48" s="350" t="s">
        <v>161</v>
      </c>
      <c r="G48" s="350" t="s">
        <v>1758</v>
      </c>
      <c r="H48" s="351" t="s">
        <v>1957</v>
      </c>
      <c r="I48" s="352">
        <v>794865</v>
      </c>
      <c r="J48" s="352">
        <v>0</v>
      </c>
      <c r="K48" s="352">
        <v>0</v>
      </c>
      <c r="L48" s="352">
        <v>59614.87</v>
      </c>
      <c r="M48" s="352">
        <v>59614.87</v>
      </c>
      <c r="N48" s="363">
        <v>0</v>
      </c>
      <c r="O48" s="352">
        <f t="shared" si="5"/>
        <v>675635.26</v>
      </c>
    </row>
    <row r="49" spans="1:15" s="353" customFormat="1" ht="150" x14ac:dyDescent="0.2">
      <c r="A49" s="346">
        <v>22</v>
      </c>
      <c r="B49" s="347">
        <v>243161</v>
      </c>
      <c r="C49" s="348" t="s">
        <v>1109</v>
      </c>
      <c r="D49" s="346" t="s">
        <v>1842</v>
      </c>
      <c r="E49" s="349" t="s">
        <v>914</v>
      </c>
      <c r="F49" s="350" t="s">
        <v>161</v>
      </c>
      <c r="G49" s="350" t="s">
        <v>1758</v>
      </c>
      <c r="H49" s="351" t="s">
        <v>1958</v>
      </c>
      <c r="I49" s="352">
        <v>55780</v>
      </c>
      <c r="J49" s="352">
        <v>0</v>
      </c>
      <c r="K49" s="352">
        <v>0</v>
      </c>
      <c r="L49" s="352">
        <v>4183.5</v>
      </c>
      <c r="M49" s="352">
        <v>4183.5</v>
      </c>
      <c r="N49" s="363">
        <v>0</v>
      </c>
      <c r="O49" s="352">
        <f t="shared" si="5"/>
        <v>47413</v>
      </c>
    </row>
    <row r="50" spans="1:15" s="353" customFormat="1" ht="150" x14ac:dyDescent="0.2">
      <c r="A50" s="346">
        <v>23</v>
      </c>
      <c r="B50" s="347">
        <v>243161</v>
      </c>
      <c r="C50" s="348" t="s">
        <v>1109</v>
      </c>
      <c r="D50" s="346" t="s">
        <v>1842</v>
      </c>
      <c r="E50" s="349" t="s">
        <v>914</v>
      </c>
      <c r="F50" s="350" t="s">
        <v>161</v>
      </c>
      <c r="G50" s="350" t="s">
        <v>1758</v>
      </c>
      <c r="H50" s="351" t="s">
        <v>1959</v>
      </c>
      <c r="I50" s="352">
        <v>41835</v>
      </c>
      <c r="J50" s="352">
        <v>0</v>
      </c>
      <c r="K50" s="352">
        <v>0</v>
      </c>
      <c r="L50" s="352">
        <v>3137.63</v>
      </c>
      <c r="M50" s="352">
        <v>3137.63</v>
      </c>
      <c r="N50" s="363">
        <v>0</v>
      </c>
      <c r="O50" s="352">
        <f t="shared" si="5"/>
        <v>35559.74</v>
      </c>
    </row>
    <row r="51" spans="1:15" s="353" customFormat="1" ht="150" x14ac:dyDescent="0.2">
      <c r="A51" s="346">
        <v>24</v>
      </c>
      <c r="B51" s="347">
        <v>243161</v>
      </c>
      <c r="C51" s="348" t="s">
        <v>1109</v>
      </c>
      <c r="D51" s="346" t="s">
        <v>1846</v>
      </c>
      <c r="E51" s="349" t="s">
        <v>914</v>
      </c>
      <c r="F51" s="350" t="s">
        <v>161</v>
      </c>
      <c r="G51" s="350" t="s">
        <v>1758</v>
      </c>
      <c r="H51" s="351" t="s">
        <v>1960</v>
      </c>
      <c r="I51" s="352">
        <v>41835</v>
      </c>
      <c r="J51" s="352">
        <v>0</v>
      </c>
      <c r="K51" s="352">
        <v>0</v>
      </c>
      <c r="L51" s="352">
        <v>3137.62</v>
      </c>
      <c r="M51" s="352">
        <v>3137.63</v>
      </c>
      <c r="N51" s="352">
        <v>0</v>
      </c>
      <c r="O51" s="352">
        <f t="shared" si="5"/>
        <v>35559.75</v>
      </c>
    </row>
    <row r="52" spans="1:15" s="353" customFormat="1" x14ac:dyDescent="0.2">
      <c r="A52" s="356" t="s">
        <v>512</v>
      </c>
      <c r="B52" s="357"/>
      <c r="C52" s="358"/>
      <c r="D52" s="359"/>
      <c r="E52" s="356"/>
      <c r="F52" s="360"/>
      <c r="G52" s="360"/>
      <c r="H52" s="361"/>
      <c r="I52" s="362">
        <f>SUM(I53:I54)</f>
        <v>345550</v>
      </c>
      <c r="J52" s="362">
        <f t="shared" ref="J52:O52" si="6">SUM(J53:J54)</f>
        <v>1677.5</v>
      </c>
      <c r="K52" s="362">
        <f t="shared" si="6"/>
        <v>1677.5</v>
      </c>
      <c r="L52" s="362">
        <f t="shared" si="6"/>
        <v>0</v>
      </c>
      <c r="M52" s="362">
        <f t="shared" si="6"/>
        <v>0</v>
      </c>
      <c r="N52" s="362">
        <f t="shared" si="6"/>
        <v>0</v>
      </c>
      <c r="O52" s="362">
        <f t="shared" si="6"/>
        <v>342195</v>
      </c>
    </row>
    <row r="53" spans="1:15" s="353" customFormat="1" ht="131.25" x14ac:dyDescent="0.2">
      <c r="A53" s="346">
        <v>1</v>
      </c>
      <c r="B53" s="347" t="s">
        <v>1657</v>
      </c>
      <c r="C53" s="348" t="s">
        <v>1714</v>
      </c>
      <c r="D53" s="346" t="s">
        <v>1715</v>
      </c>
      <c r="E53" s="349" t="s">
        <v>1268</v>
      </c>
      <c r="F53" s="350" t="s">
        <v>512</v>
      </c>
      <c r="G53" s="350" t="s">
        <v>1269</v>
      </c>
      <c r="H53" s="351" t="s">
        <v>1961</v>
      </c>
      <c r="I53" s="352">
        <v>312000</v>
      </c>
      <c r="J53" s="352">
        <v>0</v>
      </c>
      <c r="K53" s="352">
        <v>0</v>
      </c>
      <c r="L53" s="352">
        <v>0</v>
      </c>
      <c r="M53" s="352">
        <v>0</v>
      </c>
      <c r="N53" s="355" t="s">
        <v>1255</v>
      </c>
      <c r="O53" s="352">
        <f>+I53-(SUM(J53:N53))</f>
        <v>312000</v>
      </c>
    </row>
    <row r="54" spans="1:15" s="353" customFormat="1" ht="168.75" x14ac:dyDescent="0.2">
      <c r="A54" s="346">
        <v>2</v>
      </c>
      <c r="B54" s="347" t="s">
        <v>1791</v>
      </c>
      <c r="C54" s="348" t="s">
        <v>1887</v>
      </c>
      <c r="D54" s="346" t="s">
        <v>1888</v>
      </c>
      <c r="E54" s="349" t="s">
        <v>1197</v>
      </c>
      <c r="F54" s="350" t="s">
        <v>156</v>
      </c>
      <c r="G54" s="350" t="s">
        <v>1198</v>
      </c>
      <c r="H54" s="351" t="s">
        <v>1962</v>
      </c>
      <c r="I54" s="352">
        <v>33550</v>
      </c>
      <c r="J54" s="352">
        <v>1677.5</v>
      </c>
      <c r="K54" s="352">
        <v>1677.5</v>
      </c>
      <c r="L54" s="352">
        <v>0</v>
      </c>
      <c r="M54" s="352">
        <v>0</v>
      </c>
      <c r="N54" s="352">
        <v>0</v>
      </c>
      <c r="O54" s="352">
        <f>+I54-(SUM(J54:N54))</f>
        <v>30195</v>
      </c>
    </row>
    <row r="55" spans="1:15" s="353" customFormat="1" x14ac:dyDescent="0.2">
      <c r="A55" s="356" t="s">
        <v>22</v>
      </c>
      <c r="B55" s="357"/>
      <c r="C55" s="358"/>
      <c r="D55" s="359"/>
      <c r="E55" s="356"/>
      <c r="F55" s="360"/>
      <c r="G55" s="360"/>
      <c r="H55" s="361"/>
      <c r="I55" s="362">
        <f>SUM(I56:I75)</f>
        <v>5687959</v>
      </c>
      <c r="J55" s="362">
        <f t="shared" ref="J55:O55" si="7">SUM(J56:J75)</f>
        <v>97970</v>
      </c>
      <c r="K55" s="362">
        <f t="shared" si="7"/>
        <v>97970</v>
      </c>
      <c r="L55" s="362">
        <f t="shared" si="7"/>
        <v>51225</v>
      </c>
      <c r="M55" s="362">
        <f t="shared" si="7"/>
        <v>51225</v>
      </c>
      <c r="N55" s="362">
        <f t="shared" si="7"/>
        <v>0</v>
      </c>
      <c r="O55" s="362">
        <f t="shared" si="7"/>
        <v>5389569</v>
      </c>
    </row>
    <row r="56" spans="1:15" s="353" customFormat="1" ht="75" x14ac:dyDescent="0.2">
      <c r="A56" s="346">
        <v>1</v>
      </c>
      <c r="B56" s="347" t="s">
        <v>916</v>
      </c>
      <c r="C56" s="348" t="s">
        <v>917</v>
      </c>
      <c r="D56" s="346" t="s">
        <v>918</v>
      </c>
      <c r="E56" s="349" t="s">
        <v>451</v>
      </c>
      <c r="F56" s="350" t="s">
        <v>22</v>
      </c>
      <c r="G56" s="350" t="s">
        <v>919</v>
      </c>
      <c r="H56" s="351" t="s">
        <v>1963</v>
      </c>
      <c r="I56" s="352">
        <v>490400</v>
      </c>
      <c r="J56" s="352">
        <v>24520</v>
      </c>
      <c r="K56" s="352">
        <v>24520</v>
      </c>
      <c r="L56" s="352">
        <v>0</v>
      </c>
      <c r="M56" s="352">
        <v>0</v>
      </c>
      <c r="N56" s="352">
        <v>0</v>
      </c>
      <c r="O56" s="352">
        <f t="shared" ref="O56:O75" si="8">+I56-(SUM(J56:N56))</f>
        <v>441360</v>
      </c>
    </row>
    <row r="57" spans="1:15" s="353" customFormat="1" ht="131.25" x14ac:dyDescent="0.2">
      <c r="A57" s="346">
        <v>2</v>
      </c>
      <c r="B57" s="347" t="s">
        <v>1623</v>
      </c>
      <c r="C57" s="348" t="s">
        <v>1699</v>
      </c>
      <c r="D57" s="346" t="s">
        <v>1700</v>
      </c>
      <c r="E57" s="349" t="s">
        <v>451</v>
      </c>
      <c r="F57" s="350" t="s">
        <v>22</v>
      </c>
      <c r="G57" s="350" t="s">
        <v>1701</v>
      </c>
      <c r="H57" s="351" t="s">
        <v>1964</v>
      </c>
      <c r="I57" s="352">
        <v>18000</v>
      </c>
      <c r="J57" s="352">
        <v>1440</v>
      </c>
      <c r="K57" s="352">
        <v>1440</v>
      </c>
      <c r="L57" s="352">
        <v>0</v>
      </c>
      <c r="M57" s="352">
        <v>0</v>
      </c>
      <c r="N57" s="352">
        <v>0</v>
      </c>
      <c r="O57" s="352">
        <f t="shared" si="8"/>
        <v>15120</v>
      </c>
    </row>
    <row r="58" spans="1:15" s="353" customFormat="1" ht="112.5" x14ac:dyDescent="0.2">
      <c r="A58" s="346">
        <v>3</v>
      </c>
      <c r="B58" s="347" t="s">
        <v>1708</v>
      </c>
      <c r="C58" s="348" t="s">
        <v>1709</v>
      </c>
      <c r="D58" s="346" t="s">
        <v>1710</v>
      </c>
      <c r="E58" s="349" t="s">
        <v>475</v>
      </c>
      <c r="F58" s="350" t="s">
        <v>22</v>
      </c>
      <c r="G58" s="350" t="s">
        <v>493</v>
      </c>
      <c r="H58" s="351" t="s">
        <v>1965</v>
      </c>
      <c r="I58" s="352">
        <v>18000</v>
      </c>
      <c r="J58" s="352">
        <v>0</v>
      </c>
      <c r="K58" s="352">
        <v>0</v>
      </c>
      <c r="L58" s="352">
        <v>0</v>
      </c>
      <c r="M58" s="352">
        <v>0</v>
      </c>
      <c r="N58" s="355" t="s">
        <v>1189</v>
      </c>
      <c r="O58" s="352">
        <f t="shared" si="8"/>
        <v>18000</v>
      </c>
    </row>
    <row r="59" spans="1:15" s="353" customFormat="1" ht="168.75" x14ac:dyDescent="0.2">
      <c r="A59" s="346">
        <v>4</v>
      </c>
      <c r="B59" s="347" t="s">
        <v>1680</v>
      </c>
      <c r="C59" s="348" t="s">
        <v>1686</v>
      </c>
      <c r="D59" s="346" t="s">
        <v>1687</v>
      </c>
      <c r="E59" s="349" t="s">
        <v>1724</v>
      </c>
      <c r="F59" s="350" t="s">
        <v>22</v>
      </c>
      <c r="G59" s="350" t="s">
        <v>1689</v>
      </c>
      <c r="H59" s="351" t="s">
        <v>1966</v>
      </c>
      <c r="I59" s="352">
        <v>360000</v>
      </c>
      <c r="J59" s="352">
        <v>0</v>
      </c>
      <c r="K59" s="352">
        <v>0</v>
      </c>
      <c r="L59" s="352">
        <v>0</v>
      </c>
      <c r="M59" s="352">
        <v>0</v>
      </c>
      <c r="N59" s="355" t="s">
        <v>1748</v>
      </c>
      <c r="O59" s="352">
        <f t="shared" si="8"/>
        <v>360000</v>
      </c>
    </row>
    <row r="60" spans="1:15" s="353" customFormat="1" ht="112.5" x14ac:dyDescent="0.2">
      <c r="A60" s="346">
        <v>5</v>
      </c>
      <c r="B60" s="347" t="s">
        <v>1690</v>
      </c>
      <c r="C60" s="348" t="s">
        <v>1725</v>
      </c>
      <c r="D60" s="346" t="s">
        <v>1726</v>
      </c>
      <c r="E60" s="349" t="s">
        <v>451</v>
      </c>
      <c r="F60" s="350" t="s">
        <v>22</v>
      </c>
      <c r="G60" s="350" t="s">
        <v>1162</v>
      </c>
      <c r="H60" s="351" t="s">
        <v>1967</v>
      </c>
      <c r="I60" s="352">
        <v>26125</v>
      </c>
      <c r="J60" s="352">
        <v>0</v>
      </c>
      <c r="K60" s="352">
        <v>0</v>
      </c>
      <c r="L60" s="352">
        <v>0</v>
      </c>
      <c r="M60" s="352">
        <v>0</v>
      </c>
      <c r="N60" s="355" t="s">
        <v>1855</v>
      </c>
      <c r="O60" s="352">
        <f t="shared" si="8"/>
        <v>26125</v>
      </c>
    </row>
    <row r="61" spans="1:15" s="353" customFormat="1" ht="168.75" x14ac:dyDescent="0.2">
      <c r="A61" s="346">
        <v>6</v>
      </c>
      <c r="B61" s="347" t="s">
        <v>1690</v>
      </c>
      <c r="C61" s="348" t="s">
        <v>1727</v>
      </c>
      <c r="D61" s="346" t="s">
        <v>1728</v>
      </c>
      <c r="E61" s="349" t="s">
        <v>1180</v>
      </c>
      <c r="F61" s="350" t="s">
        <v>22</v>
      </c>
      <c r="G61" s="350" t="s">
        <v>1729</v>
      </c>
      <c r="H61" s="351" t="s">
        <v>1968</v>
      </c>
      <c r="I61" s="352">
        <v>30000</v>
      </c>
      <c r="J61" s="352">
        <v>2400</v>
      </c>
      <c r="K61" s="352">
        <v>2400</v>
      </c>
      <c r="L61" s="352">
        <v>0</v>
      </c>
      <c r="M61" s="352">
        <v>0</v>
      </c>
      <c r="N61" s="352">
        <v>0</v>
      </c>
      <c r="O61" s="352">
        <f t="shared" si="8"/>
        <v>25200</v>
      </c>
    </row>
    <row r="62" spans="1:15" s="353" customFormat="1" ht="112.5" x14ac:dyDescent="0.2">
      <c r="A62" s="346">
        <v>7</v>
      </c>
      <c r="B62" s="347" t="s">
        <v>1735</v>
      </c>
      <c r="C62" s="348" t="s">
        <v>1736</v>
      </c>
      <c r="D62" s="346" t="s">
        <v>1737</v>
      </c>
      <c r="E62" s="349" t="s">
        <v>1126</v>
      </c>
      <c r="F62" s="350" t="s">
        <v>22</v>
      </c>
      <c r="G62" s="350" t="s">
        <v>1127</v>
      </c>
      <c r="H62" s="351" t="s">
        <v>1969</v>
      </c>
      <c r="I62" s="352">
        <v>32000</v>
      </c>
      <c r="J62" s="352">
        <v>0</v>
      </c>
      <c r="K62" s="352">
        <v>0</v>
      </c>
      <c r="L62" s="352">
        <v>0</v>
      </c>
      <c r="M62" s="352">
        <v>0</v>
      </c>
      <c r="N62" s="355" t="s">
        <v>1189</v>
      </c>
      <c r="O62" s="352">
        <f t="shared" si="8"/>
        <v>32000</v>
      </c>
    </row>
    <row r="63" spans="1:15" s="353" customFormat="1" ht="168.75" x14ac:dyDescent="0.2">
      <c r="A63" s="346">
        <v>8</v>
      </c>
      <c r="B63" s="347" t="s">
        <v>1743</v>
      </c>
      <c r="C63" s="348" t="s">
        <v>1744</v>
      </c>
      <c r="D63" s="346" t="s">
        <v>1745</v>
      </c>
      <c r="E63" s="349" t="s">
        <v>1234</v>
      </c>
      <c r="F63" s="350" t="s">
        <v>22</v>
      </c>
      <c r="G63" s="350" t="s">
        <v>1235</v>
      </c>
      <c r="H63" s="351" t="s">
        <v>1970</v>
      </c>
      <c r="I63" s="352">
        <v>448450</v>
      </c>
      <c r="J63" s="352">
        <v>0</v>
      </c>
      <c r="K63" s="352">
        <v>0</v>
      </c>
      <c r="L63" s="352">
        <v>36225</v>
      </c>
      <c r="M63" s="352">
        <v>36225</v>
      </c>
      <c r="N63" s="352">
        <v>0</v>
      </c>
      <c r="O63" s="352">
        <f t="shared" si="8"/>
        <v>376000</v>
      </c>
    </row>
    <row r="64" spans="1:15" s="353" customFormat="1" ht="131.25" x14ac:dyDescent="0.2">
      <c r="A64" s="346">
        <v>9</v>
      </c>
      <c r="B64" s="347" t="s">
        <v>1694</v>
      </c>
      <c r="C64" s="348" t="s">
        <v>1746</v>
      </c>
      <c r="D64" s="346" t="s">
        <v>1747</v>
      </c>
      <c r="E64" s="349" t="s">
        <v>1151</v>
      </c>
      <c r="F64" s="350" t="s">
        <v>22</v>
      </c>
      <c r="G64" s="350" t="s">
        <v>1152</v>
      </c>
      <c r="H64" s="351" t="s">
        <v>1971</v>
      </c>
      <c r="I64" s="352">
        <v>60000</v>
      </c>
      <c r="J64" s="352">
        <v>0</v>
      </c>
      <c r="K64" s="352">
        <v>0</v>
      </c>
      <c r="L64" s="352">
        <v>0</v>
      </c>
      <c r="M64" s="352">
        <v>0</v>
      </c>
      <c r="N64" s="355" t="s">
        <v>1189</v>
      </c>
      <c r="O64" s="352">
        <f t="shared" si="8"/>
        <v>60000</v>
      </c>
    </row>
    <row r="65" spans="1:15" s="353" customFormat="1" ht="75" x14ac:dyDescent="0.2">
      <c r="A65" s="346">
        <v>10</v>
      </c>
      <c r="B65" s="347" t="s">
        <v>1856</v>
      </c>
      <c r="C65" s="348" t="s">
        <v>1857</v>
      </c>
      <c r="D65" s="346" t="s">
        <v>1858</v>
      </c>
      <c r="E65" s="349" t="s">
        <v>451</v>
      </c>
      <c r="F65" s="350" t="s">
        <v>22</v>
      </c>
      <c r="G65" s="350" t="s">
        <v>1859</v>
      </c>
      <c r="H65" s="351" t="s">
        <v>1972</v>
      </c>
      <c r="I65" s="352">
        <v>120750</v>
      </c>
      <c r="J65" s="352">
        <v>9660</v>
      </c>
      <c r="K65" s="352">
        <v>9660</v>
      </c>
      <c r="L65" s="352">
        <v>0</v>
      </c>
      <c r="M65" s="352">
        <v>0</v>
      </c>
      <c r="N65" s="352">
        <v>0</v>
      </c>
      <c r="O65" s="352">
        <f t="shared" si="8"/>
        <v>101430</v>
      </c>
    </row>
    <row r="66" spans="1:15" s="353" customFormat="1" ht="150" x14ac:dyDescent="0.2">
      <c r="A66" s="346">
        <v>11</v>
      </c>
      <c r="B66" s="347" t="s">
        <v>1749</v>
      </c>
      <c r="C66" s="348" t="s">
        <v>1863</v>
      </c>
      <c r="D66" s="346" t="s">
        <v>1864</v>
      </c>
      <c r="E66" s="349" t="s">
        <v>451</v>
      </c>
      <c r="F66" s="350" t="s">
        <v>22</v>
      </c>
      <c r="G66" s="350" t="s">
        <v>1865</v>
      </c>
      <c r="H66" s="351" t="s">
        <v>1973</v>
      </c>
      <c r="I66" s="352">
        <v>500000</v>
      </c>
      <c r="J66" s="352">
        <v>40000</v>
      </c>
      <c r="K66" s="352">
        <v>40000</v>
      </c>
      <c r="L66" s="352">
        <v>0</v>
      </c>
      <c r="M66" s="352">
        <v>0</v>
      </c>
      <c r="N66" s="352">
        <v>0</v>
      </c>
      <c r="O66" s="352">
        <f t="shared" si="8"/>
        <v>420000</v>
      </c>
    </row>
    <row r="67" spans="1:15" s="353" customFormat="1" ht="131.25" x14ac:dyDescent="0.2">
      <c r="A67" s="346">
        <v>12</v>
      </c>
      <c r="B67" s="347" t="s">
        <v>1866</v>
      </c>
      <c r="C67" s="348" t="s">
        <v>1867</v>
      </c>
      <c r="D67" s="346" t="s">
        <v>1868</v>
      </c>
      <c r="E67" s="349" t="s">
        <v>451</v>
      </c>
      <c r="F67" s="350" t="s">
        <v>22</v>
      </c>
      <c r="G67" s="350" t="s">
        <v>1162</v>
      </c>
      <c r="H67" s="351" t="s">
        <v>1974</v>
      </c>
      <c r="I67" s="352">
        <v>27500</v>
      </c>
      <c r="J67" s="352">
        <v>0</v>
      </c>
      <c r="K67" s="352">
        <v>0</v>
      </c>
      <c r="L67" s="352">
        <v>0</v>
      </c>
      <c r="M67" s="352">
        <v>0</v>
      </c>
      <c r="N67" s="355" t="s">
        <v>1855</v>
      </c>
      <c r="O67" s="352">
        <f t="shared" si="8"/>
        <v>27500</v>
      </c>
    </row>
    <row r="68" spans="1:15" s="353" customFormat="1" ht="131.25" x14ac:dyDescent="0.2">
      <c r="A68" s="346">
        <v>13</v>
      </c>
      <c r="B68" s="347" t="s">
        <v>1759</v>
      </c>
      <c r="C68" s="348" t="s">
        <v>1869</v>
      </c>
      <c r="D68" s="346" t="s">
        <v>1870</v>
      </c>
      <c r="E68" s="349" t="s">
        <v>451</v>
      </c>
      <c r="F68" s="350" t="s">
        <v>22</v>
      </c>
      <c r="G68" s="350" t="s">
        <v>1162</v>
      </c>
      <c r="H68" s="351" t="s">
        <v>1975</v>
      </c>
      <c r="I68" s="352">
        <v>179550</v>
      </c>
      <c r="J68" s="352">
        <v>0</v>
      </c>
      <c r="K68" s="352">
        <v>0</v>
      </c>
      <c r="L68" s="352">
        <v>15000</v>
      </c>
      <c r="M68" s="352">
        <v>15000</v>
      </c>
      <c r="N68" s="352">
        <v>0</v>
      </c>
      <c r="O68" s="352">
        <f t="shared" si="8"/>
        <v>149550</v>
      </c>
    </row>
    <row r="69" spans="1:15" s="353" customFormat="1" ht="131.25" x14ac:dyDescent="0.2">
      <c r="A69" s="346">
        <v>14</v>
      </c>
      <c r="B69" s="347" t="s">
        <v>1769</v>
      </c>
      <c r="C69" s="348" t="s">
        <v>1878</v>
      </c>
      <c r="D69" s="346" t="s">
        <v>1879</v>
      </c>
      <c r="E69" s="349" t="s">
        <v>1880</v>
      </c>
      <c r="F69" s="350" t="s">
        <v>22</v>
      </c>
      <c r="G69" s="350" t="s">
        <v>1198</v>
      </c>
      <c r="H69" s="351" t="s">
        <v>1976</v>
      </c>
      <c r="I69" s="352">
        <v>133000</v>
      </c>
      <c r="J69" s="352">
        <v>6650</v>
      </c>
      <c r="K69" s="352">
        <v>6650</v>
      </c>
      <c r="L69" s="352">
        <v>0</v>
      </c>
      <c r="M69" s="352">
        <v>0</v>
      </c>
      <c r="N69" s="355">
        <v>0</v>
      </c>
      <c r="O69" s="352">
        <f t="shared" si="8"/>
        <v>119700</v>
      </c>
    </row>
    <row r="70" spans="1:15" s="353" customFormat="1" ht="225" x14ac:dyDescent="0.2">
      <c r="A70" s="346">
        <v>15</v>
      </c>
      <c r="B70" s="347" t="s">
        <v>1782</v>
      </c>
      <c r="C70" s="348" t="s">
        <v>1783</v>
      </c>
      <c r="D70" s="346" t="s">
        <v>1784</v>
      </c>
      <c r="E70" s="349" t="s">
        <v>1884</v>
      </c>
      <c r="F70" s="350" t="s">
        <v>22</v>
      </c>
      <c r="G70" s="350" t="s">
        <v>930</v>
      </c>
      <c r="H70" s="351" t="s">
        <v>1977</v>
      </c>
      <c r="I70" s="352">
        <v>407140</v>
      </c>
      <c r="J70" s="352">
        <v>0</v>
      </c>
      <c r="K70" s="352">
        <v>0</v>
      </c>
      <c r="L70" s="352">
        <v>0</v>
      </c>
      <c r="M70" s="352">
        <v>0</v>
      </c>
      <c r="N70" s="355" t="s">
        <v>1786</v>
      </c>
      <c r="O70" s="352">
        <f t="shared" si="8"/>
        <v>407140</v>
      </c>
    </row>
    <row r="71" spans="1:15" s="353" customFormat="1" ht="187.5" x14ac:dyDescent="0.2">
      <c r="A71" s="346">
        <v>16</v>
      </c>
      <c r="B71" s="347" t="s">
        <v>1782</v>
      </c>
      <c r="C71" s="348" t="s">
        <v>1783</v>
      </c>
      <c r="D71" s="346" t="s">
        <v>1784</v>
      </c>
      <c r="E71" s="349" t="s">
        <v>1884</v>
      </c>
      <c r="F71" s="350" t="s">
        <v>22</v>
      </c>
      <c r="G71" s="350" t="s">
        <v>930</v>
      </c>
      <c r="H71" s="351" t="s">
        <v>1978</v>
      </c>
      <c r="I71" s="352">
        <v>916065</v>
      </c>
      <c r="J71" s="352">
        <v>0</v>
      </c>
      <c r="K71" s="352">
        <v>0</v>
      </c>
      <c r="L71" s="352">
        <v>0</v>
      </c>
      <c r="M71" s="352">
        <v>0</v>
      </c>
      <c r="N71" s="355" t="s">
        <v>1786</v>
      </c>
      <c r="O71" s="352">
        <f t="shared" si="8"/>
        <v>916065</v>
      </c>
    </row>
    <row r="72" spans="1:15" s="353" customFormat="1" ht="112.5" x14ac:dyDescent="0.2">
      <c r="A72" s="346">
        <v>17</v>
      </c>
      <c r="B72" s="347" t="s">
        <v>1807</v>
      </c>
      <c r="C72" s="348" t="s">
        <v>1808</v>
      </c>
      <c r="D72" s="346" t="s">
        <v>1809</v>
      </c>
      <c r="E72" s="349" t="s">
        <v>1894</v>
      </c>
      <c r="F72" s="350" t="s">
        <v>22</v>
      </c>
      <c r="G72" s="350" t="s">
        <v>1763</v>
      </c>
      <c r="H72" s="351" t="s">
        <v>1979</v>
      </c>
      <c r="I72" s="352">
        <v>1445479</v>
      </c>
      <c r="J72" s="352">
        <v>0</v>
      </c>
      <c r="K72" s="352">
        <v>0</v>
      </c>
      <c r="L72" s="352">
        <v>0</v>
      </c>
      <c r="M72" s="352">
        <v>0</v>
      </c>
      <c r="N72" s="355" t="s">
        <v>1786</v>
      </c>
      <c r="O72" s="352">
        <f t="shared" si="8"/>
        <v>1445479</v>
      </c>
    </row>
    <row r="73" spans="1:15" s="353" customFormat="1" ht="168.75" x14ac:dyDescent="0.2">
      <c r="A73" s="346">
        <v>18</v>
      </c>
      <c r="B73" s="347" t="s">
        <v>1826</v>
      </c>
      <c r="C73" s="348" t="s">
        <v>1905</v>
      </c>
      <c r="D73" s="346" t="s">
        <v>1906</v>
      </c>
      <c r="E73" s="349" t="s">
        <v>1907</v>
      </c>
      <c r="F73" s="350" t="s">
        <v>22</v>
      </c>
      <c r="G73" s="350" t="s">
        <v>1908</v>
      </c>
      <c r="H73" s="351" t="s">
        <v>1980</v>
      </c>
      <c r="I73" s="352">
        <v>10000</v>
      </c>
      <c r="J73" s="352">
        <v>0</v>
      </c>
      <c r="K73" s="352">
        <v>0</v>
      </c>
      <c r="L73" s="352">
        <v>0</v>
      </c>
      <c r="M73" s="352">
        <v>0</v>
      </c>
      <c r="N73" s="355" t="s">
        <v>1837</v>
      </c>
      <c r="O73" s="352">
        <f t="shared" si="8"/>
        <v>10000</v>
      </c>
    </row>
    <row r="74" spans="1:15" s="353" customFormat="1" ht="131.25" x14ac:dyDescent="0.2">
      <c r="A74" s="346">
        <v>19</v>
      </c>
      <c r="B74" s="347">
        <v>243161</v>
      </c>
      <c r="C74" s="348" t="s">
        <v>1109</v>
      </c>
      <c r="D74" s="346" t="s">
        <v>1909</v>
      </c>
      <c r="E74" s="349" t="s">
        <v>1880</v>
      </c>
      <c r="F74" s="350" t="s">
        <v>22</v>
      </c>
      <c r="G74" s="350" t="s">
        <v>1198</v>
      </c>
      <c r="H74" s="351" t="s">
        <v>1981</v>
      </c>
      <c r="I74" s="352">
        <v>266000</v>
      </c>
      <c r="J74" s="352">
        <v>13300</v>
      </c>
      <c r="K74" s="352">
        <v>13300</v>
      </c>
      <c r="L74" s="352">
        <v>0</v>
      </c>
      <c r="M74" s="352">
        <v>0</v>
      </c>
      <c r="N74" s="363">
        <v>0</v>
      </c>
      <c r="O74" s="352">
        <f t="shared" si="8"/>
        <v>239400</v>
      </c>
    </row>
    <row r="75" spans="1:15" s="353" customFormat="1" ht="131.25" x14ac:dyDescent="0.2">
      <c r="A75" s="346">
        <v>20</v>
      </c>
      <c r="B75" s="347">
        <v>243161</v>
      </c>
      <c r="C75" s="348" t="s">
        <v>1109</v>
      </c>
      <c r="D75" s="346" t="s">
        <v>1910</v>
      </c>
      <c r="E75" s="349" t="s">
        <v>451</v>
      </c>
      <c r="F75" s="350" t="s">
        <v>22</v>
      </c>
      <c r="G75" s="350" t="s">
        <v>1162</v>
      </c>
      <c r="H75" s="351" t="s">
        <v>1982</v>
      </c>
      <c r="I75" s="352">
        <v>199500</v>
      </c>
      <c r="J75" s="352">
        <v>0</v>
      </c>
      <c r="K75" s="352">
        <v>0</v>
      </c>
      <c r="L75" s="352"/>
      <c r="M75" s="352"/>
      <c r="N75" s="355" t="s">
        <v>1911</v>
      </c>
      <c r="O75" s="352">
        <f t="shared" si="8"/>
        <v>199500</v>
      </c>
    </row>
    <row r="76" spans="1:15" s="353" customFormat="1" x14ac:dyDescent="0.2">
      <c r="A76" s="356" t="s">
        <v>1229</v>
      </c>
      <c r="B76" s="357"/>
      <c r="C76" s="358"/>
      <c r="D76" s="359"/>
      <c r="E76" s="356"/>
      <c r="F76" s="360"/>
      <c r="G76" s="360"/>
      <c r="H76" s="361"/>
      <c r="I76" s="362">
        <f>SUM(I77:I79)</f>
        <v>321658</v>
      </c>
      <c r="J76" s="362">
        <f t="shared" ref="J76:O76" si="9">SUM(J77:J79)</f>
        <v>0</v>
      </c>
      <c r="K76" s="362">
        <f t="shared" si="9"/>
        <v>0</v>
      </c>
      <c r="L76" s="362">
        <f t="shared" si="9"/>
        <v>0</v>
      </c>
      <c r="M76" s="362">
        <f t="shared" si="9"/>
        <v>0</v>
      </c>
      <c r="N76" s="362">
        <f t="shared" si="9"/>
        <v>0</v>
      </c>
      <c r="O76" s="362">
        <f t="shared" si="9"/>
        <v>321658</v>
      </c>
    </row>
    <row r="77" spans="1:15" s="353" customFormat="1" ht="150" x14ac:dyDescent="0.2">
      <c r="A77" s="346">
        <v>1</v>
      </c>
      <c r="B77" s="347" t="s">
        <v>1782</v>
      </c>
      <c r="C77" s="348" t="s">
        <v>1787</v>
      </c>
      <c r="D77" s="346" t="s">
        <v>1788</v>
      </c>
      <c r="E77" s="349" t="s">
        <v>1885</v>
      </c>
      <c r="F77" s="350" t="s">
        <v>1229</v>
      </c>
      <c r="G77" s="350" t="s">
        <v>930</v>
      </c>
      <c r="H77" s="351" t="s">
        <v>1983</v>
      </c>
      <c r="I77" s="352">
        <v>142948</v>
      </c>
      <c r="J77" s="352">
        <v>0</v>
      </c>
      <c r="K77" s="352">
        <v>0</v>
      </c>
      <c r="L77" s="352">
        <v>0</v>
      </c>
      <c r="M77" s="352">
        <v>0</v>
      </c>
      <c r="N77" s="355" t="s">
        <v>1786</v>
      </c>
      <c r="O77" s="352">
        <f>+I77-(SUM(J77:N77))</f>
        <v>142948</v>
      </c>
    </row>
    <row r="78" spans="1:15" s="353" customFormat="1" ht="168.75" x14ac:dyDescent="0.2">
      <c r="A78" s="346">
        <v>2</v>
      </c>
      <c r="B78" s="347" t="s">
        <v>1782</v>
      </c>
      <c r="C78" s="348" t="s">
        <v>1787</v>
      </c>
      <c r="D78" s="346" t="s">
        <v>1788</v>
      </c>
      <c r="E78" s="349" t="s">
        <v>1886</v>
      </c>
      <c r="F78" s="350" t="s">
        <v>1229</v>
      </c>
      <c r="G78" s="350" t="s">
        <v>930</v>
      </c>
      <c r="H78" s="351" t="s">
        <v>1984</v>
      </c>
      <c r="I78" s="352">
        <v>168710</v>
      </c>
      <c r="J78" s="352">
        <v>0</v>
      </c>
      <c r="K78" s="352">
        <v>0</v>
      </c>
      <c r="L78" s="352">
        <v>0</v>
      </c>
      <c r="M78" s="352">
        <v>0</v>
      </c>
      <c r="N78" s="355" t="s">
        <v>1786</v>
      </c>
      <c r="O78" s="352">
        <f>+I78-(SUM(J78:N78))</f>
        <v>168710</v>
      </c>
    </row>
    <row r="79" spans="1:15" s="353" customFormat="1" ht="192" customHeight="1" x14ac:dyDescent="0.2">
      <c r="A79" s="346">
        <v>3</v>
      </c>
      <c r="B79" s="347" t="s">
        <v>1796</v>
      </c>
      <c r="C79" s="348" t="s">
        <v>1889</v>
      </c>
      <c r="D79" s="346" t="s">
        <v>1890</v>
      </c>
      <c r="E79" s="349" t="s">
        <v>1891</v>
      </c>
      <c r="F79" s="350" t="s">
        <v>1229</v>
      </c>
      <c r="G79" s="350" t="s">
        <v>1892</v>
      </c>
      <c r="H79" s="351" t="s">
        <v>1985</v>
      </c>
      <c r="I79" s="352">
        <v>10000</v>
      </c>
      <c r="J79" s="352">
        <v>0</v>
      </c>
      <c r="K79" s="352">
        <v>0</v>
      </c>
      <c r="L79" s="352">
        <v>0</v>
      </c>
      <c r="M79" s="352">
        <v>0</v>
      </c>
      <c r="N79" s="355" t="s">
        <v>1893</v>
      </c>
      <c r="O79" s="352">
        <f>+I79-(SUM(J79:N79))</f>
        <v>10000</v>
      </c>
    </row>
    <row r="80" spans="1:15" s="353" customFormat="1" x14ac:dyDescent="0.2">
      <c r="A80" s="356" t="s">
        <v>308</v>
      </c>
      <c r="B80" s="357"/>
      <c r="C80" s="358"/>
      <c r="D80" s="359"/>
      <c r="E80" s="356"/>
      <c r="F80" s="360"/>
      <c r="G80" s="360"/>
      <c r="H80" s="361"/>
      <c r="I80" s="362">
        <f>SUM(I81:I83)</f>
        <v>1217800</v>
      </c>
      <c r="J80" s="362">
        <f t="shared" ref="J80:O80" si="10">SUM(J81:J83)</f>
        <v>15105</v>
      </c>
      <c r="K80" s="362">
        <f t="shared" si="10"/>
        <v>15105</v>
      </c>
      <c r="L80" s="362">
        <f t="shared" si="10"/>
        <v>0</v>
      </c>
      <c r="M80" s="362">
        <f t="shared" si="10"/>
        <v>0</v>
      </c>
      <c r="N80" s="362">
        <f t="shared" si="10"/>
        <v>0</v>
      </c>
      <c r="O80" s="362">
        <f t="shared" si="10"/>
        <v>1187590</v>
      </c>
    </row>
    <row r="81" spans="1:16" s="353" customFormat="1" ht="208.5" customHeight="1" x14ac:dyDescent="0.2">
      <c r="A81" s="346">
        <v>1</v>
      </c>
      <c r="B81" s="347" t="s">
        <v>1759</v>
      </c>
      <c r="C81" s="348" t="s">
        <v>1760</v>
      </c>
      <c r="D81" s="346" t="s">
        <v>1761</v>
      </c>
      <c r="E81" s="349" t="s">
        <v>1762</v>
      </c>
      <c r="F81" s="350" t="s">
        <v>308</v>
      </c>
      <c r="G81" s="350" t="s">
        <v>1763</v>
      </c>
      <c r="H81" s="351" t="s">
        <v>1986</v>
      </c>
      <c r="I81" s="352">
        <v>915700</v>
      </c>
      <c r="J81" s="352">
        <v>0</v>
      </c>
      <c r="K81" s="352">
        <v>0</v>
      </c>
      <c r="L81" s="352">
        <v>0</v>
      </c>
      <c r="M81" s="352">
        <v>0</v>
      </c>
      <c r="N81" s="355" t="s">
        <v>1742</v>
      </c>
      <c r="O81" s="352">
        <f>+I81-(SUM(J81:N81))</f>
        <v>915700</v>
      </c>
    </row>
    <row r="82" spans="1:16" s="353" customFormat="1" ht="93.75" x14ac:dyDescent="0.2">
      <c r="A82" s="346">
        <v>2</v>
      </c>
      <c r="B82" s="347" t="s">
        <v>1769</v>
      </c>
      <c r="C82" s="348" t="s">
        <v>1772</v>
      </c>
      <c r="D82" s="346" t="s">
        <v>1773</v>
      </c>
      <c r="E82" s="349" t="s">
        <v>1774</v>
      </c>
      <c r="F82" s="350" t="s">
        <v>308</v>
      </c>
      <c r="G82" s="350" t="s">
        <v>1198</v>
      </c>
      <c r="H82" s="351" t="s">
        <v>1987</v>
      </c>
      <c r="I82" s="352">
        <v>100700</v>
      </c>
      <c r="J82" s="352">
        <v>5035</v>
      </c>
      <c r="K82" s="352">
        <v>5035</v>
      </c>
      <c r="L82" s="352">
        <v>0</v>
      </c>
      <c r="M82" s="352">
        <v>0</v>
      </c>
      <c r="N82" s="352">
        <v>0</v>
      </c>
      <c r="O82" s="352">
        <f>+I82-(SUM(J82:N82))</f>
        <v>90630</v>
      </c>
    </row>
    <row r="83" spans="1:16" s="353" customFormat="1" ht="93.75" x14ac:dyDescent="0.2">
      <c r="A83" s="346">
        <v>3</v>
      </c>
      <c r="B83" s="347">
        <v>243161</v>
      </c>
      <c r="C83" s="348" t="s">
        <v>1109</v>
      </c>
      <c r="D83" s="346" t="s">
        <v>1843</v>
      </c>
      <c r="E83" s="349" t="s">
        <v>1774</v>
      </c>
      <c r="F83" s="350" t="s">
        <v>308</v>
      </c>
      <c r="G83" s="350" t="s">
        <v>1198</v>
      </c>
      <c r="H83" s="351" t="s">
        <v>1988</v>
      </c>
      <c r="I83" s="352">
        <v>201400</v>
      </c>
      <c r="J83" s="352">
        <v>10070</v>
      </c>
      <c r="K83" s="352">
        <v>10070</v>
      </c>
      <c r="L83" s="352">
        <v>0</v>
      </c>
      <c r="M83" s="352">
        <v>0</v>
      </c>
      <c r="N83" s="363">
        <v>0</v>
      </c>
      <c r="O83" s="352">
        <f>+I83-(SUM(J83:N83))</f>
        <v>181260</v>
      </c>
    </row>
    <row r="84" spans="1:16" s="353" customFormat="1" x14ac:dyDescent="0.2">
      <c r="A84" s="356" t="s">
        <v>19</v>
      </c>
      <c r="B84" s="357"/>
      <c r="C84" s="358"/>
      <c r="D84" s="359"/>
      <c r="E84" s="356"/>
      <c r="F84" s="360"/>
      <c r="G84" s="360"/>
      <c r="H84" s="361"/>
      <c r="I84" s="362">
        <f>SUM(I85:I102)</f>
        <v>5890279.04</v>
      </c>
      <c r="J84" s="362">
        <f t="shared" ref="J84:O84" si="11">SUM(J85:J102)</f>
        <v>360146.95</v>
      </c>
      <c r="K84" s="362">
        <f t="shared" si="11"/>
        <v>360146.95</v>
      </c>
      <c r="L84" s="362">
        <f t="shared" si="11"/>
        <v>0</v>
      </c>
      <c r="M84" s="362">
        <f t="shared" si="11"/>
        <v>0</v>
      </c>
      <c r="N84" s="362">
        <f t="shared" si="11"/>
        <v>0</v>
      </c>
      <c r="O84" s="362">
        <f t="shared" si="11"/>
        <v>5169985.1400000006</v>
      </c>
    </row>
    <row r="85" spans="1:16" s="353" customFormat="1" ht="187.5" x14ac:dyDescent="0.2">
      <c r="A85" s="346">
        <v>1</v>
      </c>
      <c r="B85" s="347" t="s">
        <v>1623</v>
      </c>
      <c r="C85" s="348" t="s">
        <v>1627</v>
      </c>
      <c r="D85" s="346" t="s">
        <v>1628</v>
      </c>
      <c r="E85" s="349" t="s">
        <v>199</v>
      </c>
      <c r="F85" s="350" t="s">
        <v>19</v>
      </c>
      <c r="G85" s="350" t="s">
        <v>1063</v>
      </c>
      <c r="H85" s="351" t="s">
        <v>1989</v>
      </c>
      <c r="I85" s="352">
        <v>275000</v>
      </c>
      <c r="J85" s="352">
        <v>13750</v>
      </c>
      <c r="K85" s="352">
        <v>13750</v>
      </c>
      <c r="L85" s="352">
        <v>0</v>
      </c>
      <c r="M85" s="352">
        <v>0</v>
      </c>
      <c r="N85" s="352">
        <v>0</v>
      </c>
      <c r="O85" s="352">
        <f t="shared" ref="O85:O102" si="12">+I85-(SUM(J85:N85))</f>
        <v>247500</v>
      </c>
    </row>
    <row r="86" spans="1:16" s="353" customFormat="1" ht="112.5" x14ac:dyDescent="0.2">
      <c r="A86" s="346">
        <v>2</v>
      </c>
      <c r="B86" s="347" t="s">
        <v>1634</v>
      </c>
      <c r="C86" s="348" t="s">
        <v>1635</v>
      </c>
      <c r="D86" s="346" t="s">
        <v>1636</v>
      </c>
      <c r="E86" s="349" t="s">
        <v>963</v>
      </c>
      <c r="F86" s="350" t="s">
        <v>19</v>
      </c>
      <c r="G86" s="350" t="s">
        <v>964</v>
      </c>
      <c r="H86" s="351" t="s">
        <v>1990</v>
      </c>
      <c r="I86" s="352">
        <v>285000</v>
      </c>
      <c r="J86" s="352">
        <v>14250</v>
      </c>
      <c r="K86" s="352">
        <v>14250</v>
      </c>
      <c r="L86" s="352">
        <v>0</v>
      </c>
      <c r="M86" s="352">
        <v>0</v>
      </c>
      <c r="N86" s="352">
        <v>0</v>
      </c>
      <c r="O86" s="352">
        <f t="shared" si="12"/>
        <v>256500</v>
      </c>
    </row>
    <row r="87" spans="1:16" s="353" customFormat="1" ht="117" customHeight="1" x14ac:dyDescent="0.2">
      <c r="A87" s="346">
        <v>3</v>
      </c>
      <c r="B87" s="347" t="s">
        <v>1634</v>
      </c>
      <c r="C87" s="348" t="s">
        <v>1637</v>
      </c>
      <c r="D87" s="346" t="s">
        <v>1636</v>
      </c>
      <c r="E87" s="349" t="s">
        <v>963</v>
      </c>
      <c r="F87" s="350" t="s">
        <v>19</v>
      </c>
      <c r="G87" s="350" t="s">
        <v>964</v>
      </c>
      <c r="H87" s="351" t="s">
        <v>1991</v>
      </c>
      <c r="I87" s="352">
        <v>15000</v>
      </c>
      <c r="J87" s="352">
        <v>750</v>
      </c>
      <c r="K87" s="352">
        <v>750</v>
      </c>
      <c r="L87" s="352">
        <v>0</v>
      </c>
      <c r="M87" s="352">
        <v>0</v>
      </c>
      <c r="N87" s="352">
        <v>0</v>
      </c>
      <c r="O87" s="352">
        <f t="shared" si="12"/>
        <v>13500</v>
      </c>
    </row>
    <row r="88" spans="1:16" s="353" customFormat="1" ht="112.5" x14ac:dyDescent="0.2">
      <c r="A88" s="346">
        <v>4</v>
      </c>
      <c r="B88" s="347" t="s">
        <v>1652</v>
      </c>
      <c r="C88" s="348" t="s">
        <v>1653</v>
      </c>
      <c r="D88" s="346" t="s">
        <v>1654</v>
      </c>
      <c r="E88" s="349" t="s">
        <v>1655</v>
      </c>
      <c r="F88" s="350" t="s">
        <v>19</v>
      </c>
      <c r="G88" s="350" t="s">
        <v>1656</v>
      </c>
      <c r="H88" s="351" t="s">
        <v>1992</v>
      </c>
      <c r="I88" s="352">
        <v>60000</v>
      </c>
      <c r="J88" s="352">
        <v>4800</v>
      </c>
      <c r="K88" s="352">
        <v>4800</v>
      </c>
      <c r="L88" s="352">
        <v>0</v>
      </c>
      <c r="M88" s="352">
        <v>0</v>
      </c>
      <c r="N88" s="352">
        <v>0</v>
      </c>
      <c r="O88" s="352">
        <f t="shared" si="12"/>
        <v>50400</v>
      </c>
    </row>
    <row r="89" spans="1:16" s="353" customFormat="1" ht="93.75" x14ac:dyDescent="0.2">
      <c r="A89" s="346">
        <v>5</v>
      </c>
      <c r="B89" s="347" t="s">
        <v>1674</v>
      </c>
      <c r="C89" s="348" t="s">
        <v>1675</v>
      </c>
      <c r="D89" s="346" t="s">
        <v>1676</v>
      </c>
      <c r="E89" s="349" t="s">
        <v>963</v>
      </c>
      <c r="F89" s="350" t="s">
        <v>19</v>
      </c>
      <c r="G89" s="350" t="s">
        <v>1677</v>
      </c>
      <c r="H89" s="351" t="s">
        <v>1993</v>
      </c>
      <c r="I89" s="352">
        <v>500000</v>
      </c>
      <c r="J89" s="352">
        <v>40000</v>
      </c>
      <c r="K89" s="352">
        <v>40000</v>
      </c>
      <c r="L89" s="352">
        <v>0</v>
      </c>
      <c r="M89" s="352">
        <v>0</v>
      </c>
      <c r="N89" s="352">
        <v>0</v>
      </c>
      <c r="O89" s="352">
        <f t="shared" si="12"/>
        <v>420000</v>
      </c>
    </row>
    <row r="90" spans="1:16" s="353" customFormat="1" ht="112.5" x14ac:dyDescent="0.2">
      <c r="A90" s="346">
        <v>6</v>
      </c>
      <c r="B90" s="347" t="s">
        <v>1694</v>
      </c>
      <c r="C90" s="348" t="s">
        <v>1695</v>
      </c>
      <c r="D90" s="346" t="s">
        <v>1696</v>
      </c>
      <c r="E90" s="349" t="s">
        <v>963</v>
      </c>
      <c r="F90" s="350" t="s">
        <v>19</v>
      </c>
      <c r="G90" s="350" t="s">
        <v>964</v>
      </c>
      <c r="H90" s="351" t="s">
        <v>1994</v>
      </c>
      <c r="I90" s="352">
        <v>15000</v>
      </c>
      <c r="J90" s="352">
        <v>750</v>
      </c>
      <c r="K90" s="352">
        <v>750</v>
      </c>
      <c r="L90" s="352">
        <v>0</v>
      </c>
      <c r="M90" s="352">
        <v>0</v>
      </c>
      <c r="N90" s="352">
        <v>0</v>
      </c>
      <c r="O90" s="352">
        <f t="shared" si="12"/>
        <v>13500</v>
      </c>
    </row>
    <row r="91" spans="1:16" s="353" customFormat="1" ht="112.5" x14ac:dyDescent="0.2">
      <c r="A91" s="346">
        <v>7</v>
      </c>
      <c r="B91" s="347" t="s">
        <v>1694</v>
      </c>
      <c r="C91" s="348" t="s">
        <v>1697</v>
      </c>
      <c r="D91" s="346" t="s">
        <v>1696</v>
      </c>
      <c r="E91" s="349" t="s">
        <v>963</v>
      </c>
      <c r="F91" s="350" t="s">
        <v>19</v>
      </c>
      <c r="G91" s="350" t="s">
        <v>964</v>
      </c>
      <c r="H91" s="351" t="s">
        <v>1995</v>
      </c>
      <c r="I91" s="352">
        <v>22500</v>
      </c>
      <c r="J91" s="352">
        <v>1125</v>
      </c>
      <c r="K91" s="352">
        <v>1125</v>
      </c>
      <c r="L91" s="352">
        <v>0</v>
      </c>
      <c r="M91" s="352">
        <v>0</v>
      </c>
      <c r="N91" s="352">
        <v>0</v>
      </c>
      <c r="O91" s="352">
        <f t="shared" si="12"/>
        <v>20250</v>
      </c>
    </row>
    <row r="92" spans="1:16" s="354" customFormat="1" ht="20.100000000000001" customHeight="1" x14ac:dyDescent="0.4">
      <c r="A92" s="346">
        <v>8</v>
      </c>
      <c r="B92" s="347" t="s">
        <v>1694</v>
      </c>
      <c r="C92" s="348" t="s">
        <v>1698</v>
      </c>
      <c r="D92" s="346" t="s">
        <v>1696</v>
      </c>
      <c r="E92" s="349" t="s">
        <v>963</v>
      </c>
      <c r="F92" s="350" t="s">
        <v>19</v>
      </c>
      <c r="G92" s="350" t="s">
        <v>964</v>
      </c>
      <c r="H92" s="351" t="s">
        <v>1996</v>
      </c>
      <c r="I92" s="352">
        <v>22500</v>
      </c>
      <c r="J92" s="352">
        <v>1125</v>
      </c>
      <c r="K92" s="352">
        <v>1125</v>
      </c>
      <c r="L92" s="352">
        <v>0</v>
      </c>
      <c r="M92" s="352">
        <v>0</v>
      </c>
      <c r="N92" s="352">
        <v>0</v>
      </c>
      <c r="O92" s="352">
        <f t="shared" si="12"/>
        <v>20250</v>
      </c>
      <c r="P92" s="353"/>
    </row>
    <row r="93" spans="1:16" s="353" customFormat="1" ht="115.5" customHeight="1" x14ac:dyDescent="0.2">
      <c r="A93" s="346">
        <v>9</v>
      </c>
      <c r="B93" s="347" t="s">
        <v>1749</v>
      </c>
      <c r="C93" s="348" t="s">
        <v>1750</v>
      </c>
      <c r="D93" s="346" t="s">
        <v>1751</v>
      </c>
      <c r="E93" s="349" t="s">
        <v>199</v>
      </c>
      <c r="F93" s="350" t="s">
        <v>19</v>
      </c>
      <c r="G93" s="350" t="s">
        <v>1752</v>
      </c>
      <c r="H93" s="351" t="s">
        <v>1997</v>
      </c>
      <c r="I93" s="352">
        <v>855000</v>
      </c>
      <c r="J93" s="352">
        <v>68400</v>
      </c>
      <c r="K93" s="352">
        <v>68400</v>
      </c>
      <c r="L93" s="352">
        <v>0</v>
      </c>
      <c r="M93" s="352">
        <v>0</v>
      </c>
      <c r="N93" s="352">
        <v>0</v>
      </c>
      <c r="O93" s="352">
        <f t="shared" si="12"/>
        <v>718200</v>
      </c>
    </row>
    <row r="94" spans="1:16" s="353" customFormat="1" ht="117" customHeight="1" x14ac:dyDescent="0.2">
      <c r="A94" s="346">
        <v>10</v>
      </c>
      <c r="B94" s="347" t="s">
        <v>1764</v>
      </c>
      <c r="C94" s="348" t="s">
        <v>1767</v>
      </c>
      <c r="D94" s="346" t="s">
        <v>1768</v>
      </c>
      <c r="E94" s="349" t="s">
        <v>199</v>
      </c>
      <c r="F94" s="350" t="s">
        <v>19</v>
      </c>
      <c r="G94" s="350" t="s">
        <v>1752</v>
      </c>
      <c r="H94" s="351" t="s">
        <v>1998</v>
      </c>
      <c r="I94" s="352">
        <v>855000</v>
      </c>
      <c r="J94" s="352">
        <v>68400</v>
      </c>
      <c r="K94" s="352">
        <v>68400</v>
      </c>
      <c r="L94" s="352">
        <v>0</v>
      </c>
      <c r="M94" s="352">
        <v>0</v>
      </c>
      <c r="N94" s="352">
        <v>0</v>
      </c>
      <c r="O94" s="352">
        <f t="shared" si="12"/>
        <v>718200</v>
      </c>
    </row>
    <row r="95" spans="1:16" s="353" customFormat="1" ht="112.5" x14ac:dyDescent="0.2">
      <c r="A95" s="346">
        <v>11</v>
      </c>
      <c r="B95" s="347" t="s">
        <v>1775</v>
      </c>
      <c r="C95" s="348" t="s">
        <v>1776</v>
      </c>
      <c r="D95" s="346" t="s">
        <v>1777</v>
      </c>
      <c r="E95" s="349" t="s">
        <v>199</v>
      </c>
      <c r="F95" s="350" t="s">
        <v>19</v>
      </c>
      <c r="G95" s="350" t="s">
        <v>309</v>
      </c>
      <c r="H95" s="351" t="s">
        <v>1999</v>
      </c>
      <c r="I95" s="352">
        <v>285600</v>
      </c>
      <c r="J95" s="352">
        <v>22848</v>
      </c>
      <c r="K95" s="352">
        <v>22848</v>
      </c>
      <c r="L95" s="352">
        <v>0</v>
      </c>
      <c r="M95" s="352">
        <v>0</v>
      </c>
      <c r="N95" s="352">
        <v>0</v>
      </c>
      <c r="O95" s="352">
        <f t="shared" si="12"/>
        <v>239904</v>
      </c>
    </row>
    <row r="96" spans="1:16" s="353" customFormat="1" ht="187.5" x14ac:dyDescent="0.2">
      <c r="A96" s="346">
        <v>12</v>
      </c>
      <c r="B96" s="347" t="s">
        <v>1796</v>
      </c>
      <c r="C96" s="348" t="s">
        <v>1797</v>
      </c>
      <c r="D96" s="346" t="s">
        <v>1798</v>
      </c>
      <c r="E96" s="349" t="s">
        <v>1202</v>
      </c>
      <c r="F96" s="350" t="s">
        <v>19</v>
      </c>
      <c r="G96" s="350" t="s">
        <v>1799</v>
      </c>
      <c r="H96" s="351" t="s">
        <v>2000</v>
      </c>
      <c r="I96" s="352">
        <v>120300</v>
      </c>
      <c r="J96" s="352">
        <v>0</v>
      </c>
      <c r="K96" s="352">
        <v>0</v>
      </c>
      <c r="L96" s="352">
        <v>0</v>
      </c>
      <c r="M96" s="352">
        <v>0</v>
      </c>
      <c r="N96" s="355" t="s">
        <v>1786</v>
      </c>
      <c r="O96" s="352">
        <f t="shared" si="12"/>
        <v>120300</v>
      </c>
    </row>
    <row r="97" spans="1:15" s="353" customFormat="1" ht="187.5" x14ac:dyDescent="0.2">
      <c r="A97" s="346">
        <v>13</v>
      </c>
      <c r="B97" s="347" t="s">
        <v>1817</v>
      </c>
      <c r="C97" s="348" t="s">
        <v>1818</v>
      </c>
      <c r="D97" s="346" t="s">
        <v>1819</v>
      </c>
      <c r="E97" s="349" t="s">
        <v>1044</v>
      </c>
      <c r="F97" s="350" t="s">
        <v>19</v>
      </c>
      <c r="G97" s="350" t="s">
        <v>1045</v>
      </c>
      <c r="H97" s="351" t="s">
        <v>2001</v>
      </c>
      <c r="I97" s="352">
        <f>+(80576+60432)-32028.96</f>
        <v>108979.04000000001</v>
      </c>
      <c r="J97" s="352">
        <v>5448.95</v>
      </c>
      <c r="K97" s="352">
        <v>5448.95</v>
      </c>
      <c r="L97" s="352">
        <v>0</v>
      </c>
      <c r="M97" s="352">
        <v>0</v>
      </c>
      <c r="N97" s="352">
        <v>0</v>
      </c>
      <c r="O97" s="352">
        <f t="shared" si="12"/>
        <v>98081.140000000014</v>
      </c>
    </row>
    <row r="98" spans="1:15" s="353" customFormat="1" ht="206.25" x14ac:dyDescent="0.2">
      <c r="A98" s="346">
        <v>14</v>
      </c>
      <c r="B98" s="347" t="s">
        <v>1820</v>
      </c>
      <c r="C98" s="348" t="s">
        <v>1823</v>
      </c>
      <c r="D98" s="346" t="s">
        <v>1824</v>
      </c>
      <c r="E98" s="349" t="s">
        <v>335</v>
      </c>
      <c r="F98" s="350" t="s">
        <v>19</v>
      </c>
      <c r="G98" s="350" t="s">
        <v>1825</v>
      </c>
      <c r="H98" s="351" t="s">
        <v>2002</v>
      </c>
      <c r="I98" s="352">
        <f>45000+855000</f>
        <v>900000</v>
      </c>
      <c r="J98" s="352">
        <v>22500</v>
      </c>
      <c r="K98" s="352">
        <v>22500</v>
      </c>
      <c r="L98" s="352">
        <v>0</v>
      </c>
      <c r="M98" s="352">
        <v>0</v>
      </c>
      <c r="N98" s="352">
        <v>0</v>
      </c>
      <c r="O98" s="352">
        <f t="shared" si="12"/>
        <v>855000</v>
      </c>
    </row>
    <row r="99" spans="1:15" s="353" customFormat="1" ht="187.5" x14ac:dyDescent="0.2">
      <c r="A99" s="346">
        <v>15</v>
      </c>
      <c r="B99" s="347">
        <v>243161</v>
      </c>
      <c r="C99" s="348" t="s">
        <v>1109</v>
      </c>
      <c r="D99" s="346" t="s">
        <v>1836</v>
      </c>
      <c r="E99" s="349" t="s">
        <v>1202</v>
      </c>
      <c r="F99" s="350" t="s">
        <v>19</v>
      </c>
      <c r="G99" s="350" t="s">
        <v>1799</v>
      </c>
      <c r="H99" s="351" t="s">
        <v>2003</v>
      </c>
      <c r="I99" s="352">
        <v>180000</v>
      </c>
      <c r="J99" s="352">
        <v>0</v>
      </c>
      <c r="K99" s="352">
        <v>0</v>
      </c>
      <c r="L99" s="352">
        <v>0</v>
      </c>
      <c r="M99" s="352">
        <v>0</v>
      </c>
      <c r="N99" s="355" t="s">
        <v>1837</v>
      </c>
      <c r="O99" s="352">
        <f t="shared" si="12"/>
        <v>180000</v>
      </c>
    </row>
    <row r="100" spans="1:15" s="353" customFormat="1" ht="112.5" x14ac:dyDescent="0.2">
      <c r="A100" s="346">
        <v>16</v>
      </c>
      <c r="B100" s="347">
        <v>243161</v>
      </c>
      <c r="C100" s="348" t="s">
        <v>1109</v>
      </c>
      <c r="D100" s="346" t="s">
        <v>1844</v>
      </c>
      <c r="E100" s="349" t="s">
        <v>199</v>
      </c>
      <c r="F100" s="350" t="s">
        <v>19</v>
      </c>
      <c r="G100" s="350" t="s">
        <v>309</v>
      </c>
      <c r="H100" s="351" t="s">
        <v>2004</v>
      </c>
      <c r="I100" s="352">
        <v>190400</v>
      </c>
      <c r="J100" s="352">
        <v>0</v>
      </c>
      <c r="K100" s="352">
        <v>0</v>
      </c>
      <c r="L100" s="352">
        <v>0</v>
      </c>
      <c r="M100" s="352">
        <v>0</v>
      </c>
      <c r="N100" s="355" t="s">
        <v>1845</v>
      </c>
      <c r="O100" s="352">
        <f t="shared" si="12"/>
        <v>190400</v>
      </c>
    </row>
    <row r="101" spans="1:15" s="353" customFormat="1" ht="115.5" customHeight="1" x14ac:dyDescent="0.2">
      <c r="A101" s="346">
        <v>17</v>
      </c>
      <c r="B101" s="347">
        <v>243161</v>
      </c>
      <c r="C101" s="348" t="s">
        <v>1109</v>
      </c>
      <c r="D101" s="346" t="s">
        <v>1847</v>
      </c>
      <c r="E101" s="349" t="s">
        <v>199</v>
      </c>
      <c r="F101" s="350" t="s">
        <v>19</v>
      </c>
      <c r="G101" s="350" t="s">
        <v>1752</v>
      </c>
      <c r="H101" s="351" t="s">
        <v>2005</v>
      </c>
      <c r="I101" s="352">
        <v>1140000</v>
      </c>
      <c r="J101" s="352">
        <v>91200</v>
      </c>
      <c r="K101" s="352">
        <v>91200</v>
      </c>
      <c r="L101" s="352">
        <v>0</v>
      </c>
      <c r="M101" s="352">
        <v>0</v>
      </c>
      <c r="N101" s="352">
        <v>0</v>
      </c>
      <c r="O101" s="352">
        <f t="shared" si="12"/>
        <v>957600</v>
      </c>
    </row>
    <row r="102" spans="1:15" s="353" customFormat="1" ht="132.75" customHeight="1" x14ac:dyDescent="0.2">
      <c r="A102" s="346">
        <v>18</v>
      </c>
      <c r="B102" s="347">
        <v>243161</v>
      </c>
      <c r="C102" s="348" t="s">
        <v>1109</v>
      </c>
      <c r="D102" s="346" t="s">
        <v>1847</v>
      </c>
      <c r="E102" s="349" t="s">
        <v>199</v>
      </c>
      <c r="F102" s="350" t="s">
        <v>19</v>
      </c>
      <c r="G102" s="350" t="s">
        <v>1752</v>
      </c>
      <c r="H102" s="351" t="s">
        <v>2006</v>
      </c>
      <c r="I102" s="352">
        <v>60000</v>
      </c>
      <c r="J102" s="352">
        <v>4800</v>
      </c>
      <c r="K102" s="352">
        <v>4800</v>
      </c>
      <c r="L102" s="352">
        <v>0</v>
      </c>
      <c r="M102" s="352">
        <v>0</v>
      </c>
      <c r="N102" s="352">
        <v>0</v>
      </c>
      <c r="O102" s="352">
        <f t="shared" si="12"/>
        <v>50400</v>
      </c>
    </row>
    <row r="103" spans="1:15" s="353" customFormat="1" x14ac:dyDescent="0.2">
      <c r="A103" s="356" t="s">
        <v>1067</v>
      </c>
      <c r="B103" s="357"/>
      <c r="C103" s="358"/>
      <c r="D103" s="359"/>
      <c r="E103" s="356"/>
      <c r="F103" s="360"/>
      <c r="G103" s="360"/>
      <c r="H103" s="361"/>
      <c r="I103" s="362">
        <f t="shared" ref="I103:O103" si="13">SUM(I104:I119)</f>
        <v>4608282</v>
      </c>
      <c r="J103" s="362">
        <f t="shared" si="13"/>
        <v>298486</v>
      </c>
      <c r="K103" s="362">
        <f t="shared" si="13"/>
        <v>298486</v>
      </c>
      <c r="L103" s="362">
        <f t="shared" si="13"/>
        <v>0</v>
      </c>
      <c r="M103" s="362">
        <f t="shared" si="13"/>
        <v>0</v>
      </c>
      <c r="N103" s="362">
        <f t="shared" si="13"/>
        <v>0</v>
      </c>
      <c r="O103" s="362">
        <f t="shared" si="13"/>
        <v>4011310</v>
      </c>
    </row>
    <row r="104" spans="1:15" s="353" customFormat="1" ht="75" x14ac:dyDescent="0.2">
      <c r="A104" s="346">
        <v>1</v>
      </c>
      <c r="B104" s="347">
        <v>242821</v>
      </c>
      <c r="C104" s="348" t="s">
        <v>895</v>
      </c>
      <c r="D104" s="346" t="s">
        <v>896</v>
      </c>
      <c r="E104" s="349" t="s">
        <v>897</v>
      </c>
      <c r="F104" s="350" t="s">
        <v>117</v>
      </c>
      <c r="G104" s="350" t="s">
        <v>898</v>
      </c>
      <c r="H104" s="351" t="s">
        <v>2007</v>
      </c>
      <c r="I104" s="352">
        <v>60000</v>
      </c>
      <c r="J104" s="352">
        <v>4800</v>
      </c>
      <c r="K104" s="352">
        <v>4800</v>
      </c>
      <c r="L104" s="352">
        <v>0</v>
      </c>
      <c r="M104" s="352">
        <v>0</v>
      </c>
      <c r="N104" s="352">
        <v>0</v>
      </c>
      <c r="O104" s="352">
        <f t="shared" ref="O104:O119" si="14">+I104-(SUM(J104:N104))</f>
        <v>50400</v>
      </c>
    </row>
    <row r="105" spans="1:15" s="353" customFormat="1" ht="93.75" x14ac:dyDescent="0.2">
      <c r="A105" s="346">
        <v>2</v>
      </c>
      <c r="B105" s="347">
        <v>242824</v>
      </c>
      <c r="C105" s="348" t="s">
        <v>899</v>
      </c>
      <c r="D105" s="346" t="s">
        <v>900</v>
      </c>
      <c r="E105" s="349" t="s">
        <v>115</v>
      </c>
      <c r="F105" s="350" t="s">
        <v>117</v>
      </c>
      <c r="G105" s="350" t="s">
        <v>326</v>
      </c>
      <c r="H105" s="351" t="s">
        <v>901</v>
      </c>
      <c r="I105" s="352">
        <v>110000</v>
      </c>
      <c r="J105" s="352">
        <v>5500</v>
      </c>
      <c r="K105" s="352">
        <v>5500</v>
      </c>
      <c r="L105" s="352">
        <v>0</v>
      </c>
      <c r="M105" s="352">
        <v>0</v>
      </c>
      <c r="N105" s="352">
        <v>0</v>
      </c>
      <c r="O105" s="352">
        <f t="shared" si="14"/>
        <v>99000</v>
      </c>
    </row>
    <row r="106" spans="1:15" s="353" customFormat="1" ht="93.75" x14ac:dyDescent="0.2">
      <c r="A106" s="346">
        <v>3</v>
      </c>
      <c r="B106" s="347" t="s">
        <v>902</v>
      </c>
      <c r="C106" s="348" t="s">
        <v>903</v>
      </c>
      <c r="D106" s="346" t="s">
        <v>904</v>
      </c>
      <c r="E106" s="349" t="s">
        <v>115</v>
      </c>
      <c r="F106" s="350" t="s">
        <v>117</v>
      </c>
      <c r="G106" s="350" t="s">
        <v>544</v>
      </c>
      <c r="H106" s="351" t="s">
        <v>901</v>
      </c>
      <c r="I106" s="352">
        <f>359000+49000</f>
        <v>408000</v>
      </c>
      <c r="J106" s="352">
        <f>17950+2450</f>
        <v>20400</v>
      </c>
      <c r="K106" s="352">
        <f>17950+2450</f>
        <v>20400</v>
      </c>
      <c r="L106" s="352">
        <v>0</v>
      </c>
      <c r="M106" s="352">
        <v>0</v>
      </c>
      <c r="N106" s="352">
        <v>0</v>
      </c>
      <c r="O106" s="352">
        <f t="shared" si="14"/>
        <v>367200</v>
      </c>
    </row>
    <row r="107" spans="1:15" s="353" customFormat="1" ht="93.75" x14ac:dyDescent="0.2">
      <c r="A107" s="346">
        <v>4</v>
      </c>
      <c r="B107" s="347" t="s">
        <v>1623</v>
      </c>
      <c r="C107" s="348" t="s">
        <v>1629</v>
      </c>
      <c r="D107" s="346" t="s">
        <v>1630</v>
      </c>
      <c r="E107" s="349" t="s">
        <v>115</v>
      </c>
      <c r="F107" s="350" t="s">
        <v>117</v>
      </c>
      <c r="G107" s="350" t="s">
        <v>441</v>
      </c>
      <c r="H107" s="351" t="s">
        <v>2008</v>
      </c>
      <c r="I107" s="352">
        <f>1000+1250+850</f>
        <v>3100</v>
      </c>
      <c r="J107" s="352">
        <v>0</v>
      </c>
      <c r="K107" s="352">
        <v>0</v>
      </c>
      <c r="L107" s="352">
        <v>0</v>
      </c>
      <c r="M107" s="352">
        <v>0</v>
      </c>
      <c r="N107" s="355" t="s">
        <v>1631</v>
      </c>
      <c r="O107" s="352">
        <f t="shared" si="14"/>
        <v>3100</v>
      </c>
    </row>
    <row r="108" spans="1:15" s="353" customFormat="1" ht="93.75" x14ac:dyDescent="0.2">
      <c r="A108" s="346">
        <v>5</v>
      </c>
      <c r="B108" s="347" t="s">
        <v>1623</v>
      </c>
      <c r="C108" s="348" t="s">
        <v>1632</v>
      </c>
      <c r="D108" s="346" t="s">
        <v>1633</v>
      </c>
      <c r="E108" s="349" t="s">
        <v>115</v>
      </c>
      <c r="F108" s="350" t="s">
        <v>117</v>
      </c>
      <c r="G108" s="350" t="s">
        <v>551</v>
      </c>
      <c r="H108" s="351" t="s">
        <v>901</v>
      </c>
      <c r="I108" s="352">
        <f>418000+70000</f>
        <v>488000</v>
      </c>
      <c r="J108" s="352">
        <f>20900+3500</f>
        <v>24400</v>
      </c>
      <c r="K108" s="352">
        <f>20900+3500</f>
        <v>24400</v>
      </c>
      <c r="L108" s="352">
        <v>0</v>
      </c>
      <c r="M108" s="352">
        <v>0</v>
      </c>
      <c r="N108" s="352">
        <v>0</v>
      </c>
      <c r="O108" s="352">
        <f t="shared" si="14"/>
        <v>439200</v>
      </c>
    </row>
    <row r="109" spans="1:15" s="353" customFormat="1" ht="93.75" x14ac:dyDescent="0.2">
      <c r="A109" s="346">
        <v>6</v>
      </c>
      <c r="B109" s="347" t="s">
        <v>1638</v>
      </c>
      <c r="C109" s="348" t="s">
        <v>1639</v>
      </c>
      <c r="D109" s="346" t="s">
        <v>1640</v>
      </c>
      <c r="E109" s="349" t="s">
        <v>115</v>
      </c>
      <c r="F109" s="350" t="s">
        <v>117</v>
      </c>
      <c r="G109" s="350" t="s">
        <v>318</v>
      </c>
      <c r="H109" s="351" t="s">
        <v>2008</v>
      </c>
      <c r="I109" s="352">
        <v>1250</v>
      </c>
      <c r="J109" s="352">
        <v>0</v>
      </c>
      <c r="K109" s="352">
        <v>0</v>
      </c>
      <c r="L109" s="352">
        <v>0</v>
      </c>
      <c r="M109" s="352">
        <v>0</v>
      </c>
      <c r="N109" s="355" t="s">
        <v>1631</v>
      </c>
      <c r="O109" s="352">
        <f t="shared" si="14"/>
        <v>1250</v>
      </c>
    </row>
    <row r="110" spans="1:15" s="353" customFormat="1" ht="93.75" x14ac:dyDescent="0.2">
      <c r="A110" s="346">
        <v>7</v>
      </c>
      <c r="B110" s="347" t="s">
        <v>1638</v>
      </c>
      <c r="C110" s="348" t="s">
        <v>1641</v>
      </c>
      <c r="D110" s="346" t="s">
        <v>1642</v>
      </c>
      <c r="E110" s="349" t="s">
        <v>115</v>
      </c>
      <c r="F110" s="350" t="s">
        <v>117</v>
      </c>
      <c r="G110" s="350" t="s">
        <v>444</v>
      </c>
      <c r="H110" s="351" t="s">
        <v>901</v>
      </c>
      <c r="I110" s="352">
        <v>107000</v>
      </c>
      <c r="J110" s="352">
        <v>5350</v>
      </c>
      <c r="K110" s="352">
        <v>5350</v>
      </c>
      <c r="L110" s="352">
        <v>0</v>
      </c>
      <c r="M110" s="352">
        <v>0</v>
      </c>
      <c r="N110" s="352">
        <v>0</v>
      </c>
      <c r="O110" s="352">
        <f t="shared" si="14"/>
        <v>96300</v>
      </c>
    </row>
    <row r="111" spans="1:15" s="353" customFormat="1" ht="131.25" x14ac:dyDescent="0.2">
      <c r="A111" s="346">
        <v>8</v>
      </c>
      <c r="B111" s="347" t="s">
        <v>1643</v>
      </c>
      <c r="C111" s="348" t="s">
        <v>1644</v>
      </c>
      <c r="D111" s="346" t="s">
        <v>1645</v>
      </c>
      <c r="E111" s="349" t="s">
        <v>302</v>
      </c>
      <c r="F111" s="350" t="s">
        <v>117</v>
      </c>
      <c r="G111" s="350" t="s">
        <v>444</v>
      </c>
      <c r="H111" s="351" t="s">
        <v>1024</v>
      </c>
      <c r="I111" s="352">
        <f>48000+24000</f>
        <v>72000</v>
      </c>
      <c r="J111" s="352">
        <f>2400+1200</f>
        <v>3600</v>
      </c>
      <c r="K111" s="352">
        <f>2400+1200</f>
        <v>3600</v>
      </c>
      <c r="L111" s="352">
        <v>0</v>
      </c>
      <c r="M111" s="352">
        <v>0</v>
      </c>
      <c r="N111" s="352">
        <v>0</v>
      </c>
      <c r="O111" s="352">
        <f t="shared" si="14"/>
        <v>64800</v>
      </c>
    </row>
    <row r="112" spans="1:15" s="353" customFormat="1" ht="93.75" x14ac:dyDescent="0.2">
      <c r="A112" s="346">
        <v>9</v>
      </c>
      <c r="B112" s="347" t="s">
        <v>1646</v>
      </c>
      <c r="C112" s="348" t="s">
        <v>1647</v>
      </c>
      <c r="D112" s="346" t="s">
        <v>1648</v>
      </c>
      <c r="E112" s="349" t="s">
        <v>115</v>
      </c>
      <c r="F112" s="350" t="s">
        <v>117</v>
      </c>
      <c r="G112" s="350" t="s">
        <v>303</v>
      </c>
      <c r="H112" s="351" t="s">
        <v>901</v>
      </c>
      <c r="I112" s="352">
        <v>50000</v>
      </c>
      <c r="J112" s="352">
        <v>2500</v>
      </c>
      <c r="K112" s="352">
        <v>2500</v>
      </c>
      <c r="L112" s="352">
        <v>0</v>
      </c>
      <c r="M112" s="352">
        <v>0</v>
      </c>
      <c r="N112" s="352">
        <v>0</v>
      </c>
      <c r="O112" s="352">
        <f t="shared" si="14"/>
        <v>45000</v>
      </c>
    </row>
    <row r="113" spans="1:15" s="353" customFormat="1" ht="93.75" x14ac:dyDescent="0.2">
      <c r="A113" s="346">
        <v>10</v>
      </c>
      <c r="B113" s="347" t="s">
        <v>1764</v>
      </c>
      <c r="C113" s="348" t="s">
        <v>903</v>
      </c>
      <c r="D113" s="346" t="s">
        <v>1765</v>
      </c>
      <c r="E113" s="349" t="s">
        <v>115</v>
      </c>
      <c r="F113" s="350" t="s">
        <v>117</v>
      </c>
      <c r="G113" s="350" t="s">
        <v>318</v>
      </c>
      <c r="H113" s="351" t="s">
        <v>1766</v>
      </c>
      <c r="I113" s="352">
        <v>20000</v>
      </c>
      <c r="J113" s="352">
        <v>1600</v>
      </c>
      <c r="K113" s="352">
        <v>1600</v>
      </c>
      <c r="L113" s="352">
        <v>0</v>
      </c>
      <c r="M113" s="352">
        <v>0</v>
      </c>
      <c r="N113" s="352">
        <v>0</v>
      </c>
      <c r="O113" s="352">
        <f t="shared" si="14"/>
        <v>16800</v>
      </c>
    </row>
    <row r="114" spans="1:15" s="353" customFormat="1" ht="187.5" x14ac:dyDescent="0.2">
      <c r="A114" s="346">
        <v>11</v>
      </c>
      <c r="B114" s="347" t="s">
        <v>1782</v>
      </c>
      <c r="C114" s="348" t="s">
        <v>1783</v>
      </c>
      <c r="D114" s="346" t="s">
        <v>1784</v>
      </c>
      <c r="E114" s="349" t="s">
        <v>1785</v>
      </c>
      <c r="F114" s="350" t="s">
        <v>117</v>
      </c>
      <c r="G114" s="350" t="s">
        <v>930</v>
      </c>
      <c r="H114" s="351" t="s">
        <v>2009</v>
      </c>
      <c r="I114" s="352">
        <v>407140</v>
      </c>
      <c r="J114" s="352"/>
      <c r="K114" s="352">
        <v>0</v>
      </c>
      <c r="L114" s="352">
        <v>0</v>
      </c>
      <c r="M114" s="352">
        <v>0</v>
      </c>
      <c r="N114" s="355" t="s">
        <v>1786</v>
      </c>
      <c r="O114" s="352">
        <f t="shared" si="14"/>
        <v>407140</v>
      </c>
    </row>
    <row r="115" spans="1:15" s="353" customFormat="1" ht="93.75" x14ac:dyDescent="0.2">
      <c r="A115" s="346">
        <v>12</v>
      </c>
      <c r="B115" s="347" t="s">
        <v>1796</v>
      </c>
      <c r="C115" s="348" t="s">
        <v>1800</v>
      </c>
      <c r="D115" s="346" t="s">
        <v>1801</v>
      </c>
      <c r="E115" s="349" t="s">
        <v>1802</v>
      </c>
      <c r="F115" s="350" t="s">
        <v>1067</v>
      </c>
      <c r="G115" s="350" t="s">
        <v>1803</v>
      </c>
      <c r="H115" s="351" t="s">
        <v>2010</v>
      </c>
      <c r="I115" s="352">
        <v>18792</v>
      </c>
      <c r="J115" s="352">
        <v>1296</v>
      </c>
      <c r="K115" s="352">
        <v>1296</v>
      </c>
      <c r="L115" s="352">
        <v>0</v>
      </c>
      <c r="M115" s="352">
        <v>0</v>
      </c>
      <c r="N115" s="352">
        <v>0</v>
      </c>
      <c r="O115" s="352">
        <f>+I115-(SUM(J115:N115))</f>
        <v>16200</v>
      </c>
    </row>
    <row r="116" spans="1:15" s="353" customFormat="1" ht="77.25" customHeight="1" x14ac:dyDescent="0.2">
      <c r="A116" s="346">
        <v>13</v>
      </c>
      <c r="B116" s="347" t="s">
        <v>1811</v>
      </c>
      <c r="C116" s="348" t="s">
        <v>1812</v>
      </c>
      <c r="D116" s="346" t="s">
        <v>1813</v>
      </c>
      <c r="E116" s="349" t="s">
        <v>115</v>
      </c>
      <c r="F116" s="350" t="s">
        <v>117</v>
      </c>
      <c r="G116" s="350" t="s">
        <v>318</v>
      </c>
      <c r="H116" s="351" t="s">
        <v>1766</v>
      </c>
      <c r="I116" s="352">
        <v>19000</v>
      </c>
      <c r="J116" s="352">
        <v>1520</v>
      </c>
      <c r="K116" s="352">
        <v>1520</v>
      </c>
      <c r="L116" s="352">
        <v>0</v>
      </c>
      <c r="M116" s="352">
        <v>0</v>
      </c>
      <c r="N116" s="352">
        <v>0</v>
      </c>
      <c r="O116" s="352">
        <f t="shared" si="14"/>
        <v>15960</v>
      </c>
    </row>
    <row r="117" spans="1:15" s="353" customFormat="1" ht="78" customHeight="1" x14ac:dyDescent="0.2">
      <c r="A117" s="346">
        <v>14</v>
      </c>
      <c r="B117" s="347" t="s">
        <v>1829</v>
      </c>
      <c r="C117" s="348" t="s">
        <v>1812</v>
      </c>
      <c r="D117" s="346" t="s">
        <v>1834</v>
      </c>
      <c r="E117" s="349" t="s">
        <v>115</v>
      </c>
      <c r="F117" s="350" t="s">
        <v>117</v>
      </c>
      <c r="G117" s="350" t="s">
        <v>1835</v>
      </c>
      <c r="H117" s="351" t="s">
        <v>1766</v>
      </c>
      <c r="I117" s="352">
        <f>468000+20000</f>
        <v>488000</v>
      </c>
      <c r="J117" s="352">
        <v>39040</v>
      </c>
      <c r="K117" s="352">
        <v>39040</v>
      </c>
      <c r="L117" s="352">
        <v>0</v>
      </c>
      <c r="M117" s="352">
        <v>0</v>
      </c>
      <c r="N117" s="352">
        <v>0</v>
      </c>
      <c r="O117" s="352">
        <f t="shared" si="14"/>
        <v>409920</v>
      </c>
    </row>
    <row r="118" spans="1:15" s="353" customFormat="1" ht="75" x14ac:dyDescent="0.2">
      <c r="A118" s="346">
        <v>15</v>
      </c>
      <c r="B118" s="347">
        <v>243161</v>
      </c>
      <c r="C118" s="348" t="s">
        <v>1109</v>
      </c>
      <c r="D118" s="346" t="s">
        <v>1848</v>
      </c>
      <c r="E118" s="349" t="s">
        <v>302</v>
      </c>
      <c r="F118" s="350" t="s">
        <v>117</v>
      </c>
      <c r="G118" s="350" t="s">
        <v>318</v>
      </c>
      <c r="H118" s="351" t="s">
        <v>1849</v>
      </c>
      <c r="I118" s="352">
        <v>25000</v>
      </c>
      <c r="J118" s="352">
        <v>2000</v>
      </c>
      <c r="K118" s="352">
        <v>2000</v>
      </c>
      <c r="L118" s="352">
        <v>0</v>
      </c>
      <c r="M118" s="352">
        <v>0</v>
      </c>
      <c r="N118" s="352">
        <v>0</v>
      </c>
      <c r="O118" s="352">
        <f t="shared" si="14"/>
        <v>21000</v>
      </c>
    </row>
    <row r="119" spans="1:15" s="353" customFormat="1" ht="74.25" customHeight="1" x14ac:dyDescent="0.2">
      <c r="A119" s="346">
        <v>16</v>
      </c>
      <c r="B119" s="347">
        <v>243161</v>
      </c>
      <c r="C119" s="348" t="s">
        <v>1109</v>
      </c>
      <c r="D119" s="346" t="s">
        <v>1850</v>
      </c>
      <c r="E119" s="349" t="s">
        <v>115</v>
      </c>
      <c r="F119" s="350" t="s">
        <v>117</v>
      </c>
      <c r="G119" s="350" t="s">
        <v>1851</v>
      </c>
      <c r="H119" s="351" t="s">
        <v>1766</v>
      </c>
      <c r="I119" s="352">
        <v>2331000</v>
      </c>
      <c r="J119" s="352">
        <v>186480</v>
      </c>
      <c r="K119" s="352">
        <v>186480</v>
      </c>
      <c r="L119" s="352">
        <v>0</v>
      </c>
      <c r="M119" s="352">
        <v>0</v>
      </c>
      <c r="N119" s="352">
        <v>0</v>
      </c>
      <c r="O119" s="352">
        <f t="shared" si="14"/>
        <v>1958040</v>
      </c>
    </row>
    <row r="120" spans="1:15" s="353" customFormat="1" x14ac:dyDescent="0.2">
      <c r="A120" s="356" t="s">
        <v>706</v>
      </c>
      <c r="B120" s="357"/>
      <c r="C120" s="358"/>
      <c r="D120" s="359"/>
      <c r="E120" s="356"/>
      <c r="F120" s="360"/>
      <c r="G120" s="360"/>
      <c r="H120" s="361"/>
      <c r="I120" s="362">
        <f>SUM(I121:I126)</f>
        <v>2115946</v>
      </c>
      <c r="J120" s="362">
        <f t="shared" ref="J120:O120" si="15">SUM(J121:J126)</f>
        <v>0</v>
      </c>
      <c r="K120" s="362">
        <f t="shared" si="15"/>
        <v>0</v>
      </c>
      <c r="L120" s="362">
        <f t="shared" si="15"/>
        <v>35745.504999999997</v>
      </c>
      <c r="M120" s="362">
        <f t="shared" si="15"/>
        <v>35745.495000000003</v>
      </c>
      <c r="N120" s="362">
        <f t="shared" si="15"/>
        <v>0</v>
      </c>
      <c r="O120" s="362">
        <f t="shared" si="15"/>
        <v>2044455</v>
      </c>
    </row>
    <row r="121" spans="1:15" s="353" customFormat="1" ht="168.75" x14ac:dyDescent="0.2">
      <c r="A121" s="346">
        <v>1</v>
      </c>
      <c r="B121" s="347" t="s">
        <v>1623</v>
      </c>
      <c r="C121" s="348" t="s">
        <v>1702</v>
      </c>
      <c r="D121" s="346" t="s">
        <v>1703</v>
      </c>
      <c r="E121" s="349" t="s">
        <v>1704</v>
      </c>
      <c r="F121" s="350" t="s">
        <v>706</v>
      </c>
      <c r="G121" s="350" t="s">
        <v>309</v>
      </c>
      <c r="H121" s="351" t="s">
        <v>1705</v>
      </c>
      <c r="I121" s="352">
        <v>24897.25</v>
      </c>
      <c r="J121" s="352">
        <v>0</v>
      </c>
      <c r="K121" s="352">
        <v>0</v>
      </c>
      <c r="L121" s="352">
        <v>12448.625</v>
      </c>
      <c r="M121" s="352">
        <v>12448.625</v>
      </c>
      <c r="N121" s="352">
        <v>0</v>
      </c>
      <c r="O121" s="352">
        <f t="shared" ref="O121:O126" si="16">+I121-(SUM(J121:N121))</f>
        <v>0</v>
      </c>
    </row>
    <row r="122" spans="1:15" s="353" customFormat="1" ht="135" customHeight="1" x14ac:dyDescent="0.2">
      <c r="A122" s="346">
        <v>2</v>
      </c>
      <c r="B122" s="347" t="s">
        <v>1623</v>
      </c>
      <c r="C122" s="348" t="s">
        <v>1706</v>
      </c>
      <c r="D122" s="346" t="s">
        <v>1703</v>
      </c>
      <c r="E122" s="349" t="s">
        <v>1704</v>
      </c>
      <c r="F122" s="350" t="s">
        <v>706</v>
      </c>
      <c r="G122" s="350" t="s">
        <v>309</v>
      </c>
      <c r="H122" s="351" t="s">
        <v>1707</v>
      </c>
      <c r="I122" s="352">
        <v>27000</v>
      </c>
      <c r="J122" s="352">
        <v>0</v>
      </c>
      <c r="K122" s="352">
        <v>0</v>
      </c>
      <c r="L122" s="352">
        <v>13500</v>
      </c>
      <c r="M122" s="352">
        <v>13500</v>
      </c>
      <c r="N122" s="352">
        <v>0</v>
      </c>
      <c r="O122" s="352">
        <f t="shared" si="16"/>
        <v>0</v>
      </c>
    </row>
    <row r="123" spans="1:15" s="353" customFormat="1" ht="243.75" x14ac:dyDescent="0.2">
      <c r="A123" s="346">
        <v>3</v>
      </c>
      <c r="B123" s="347" t="s">
        <v>1730</v>
      </c>
      <c r="C123" s="348" t="s">
        <v>1731</v>
      </c>
      <c r="D123" s="346" t="s">
        <v>1732</v>
      </c>
      <c r="E123" s="349" t="s">
        <v>1733</v>
      </c>
      <c r="F123" s="350" t="s">
        <v>706</v>
      </c>
      <c r="G123" s="350" t="s">
        <v>309</v>
      </c>
      <c r="H123" s="351" t="s">
        <v>1734</v>
      </c>
      <c r="I123" s="352">
        <v>15093.75</v>
      </c>
      <c r="J123" s="352">
        <v>0</v>
      </c>
      <c r="K123" s="352">
        <v>0</v>
      </c>
      <c r="L123" s="352">
        <v>7546.88</v>
      </c>
      <c r="M123" s="352">
        <v>7546.87</v>
      </c>
      <c r="N123" s="352">
        <v>0</v>
      </c>
      <c r="O123" s="352">
        <f t="shared" si="16"/>
        <v>0</v>
      </c>
    </row>
    <row r="124" spans="1:15" s="353" customFormat="1" ht="150" x14ac:dyDescent="0.2">
      <c r="A124" s="346">
        <v>4</v>
      </c>
      <c r="B124" s="347" t="s">
        <v>1738</v>
      </c>
      <c r="C124" s="348" t="s">
        <v>1739</v>
      </c>
      <c r="D124" s="346" t="s">
        <v>1740</v>
      </c>
      <c r="E124" s="349" t="s">
        <v>1741</v>
      </c>
      <c r="F124" s="350" t="s">
        <v>706</v>
      </c>
      <c r="G124" s="350" t="s">
        <v>1253</v>
      </c>
      <c r="H124" s="351" t="s">
        <v>2011</v>
      </c>
      <c r="I124" s="352">
        <v>1739100</v>
      </c>
      <c r="J124" s="352">
        <v>0</v>
      </c>
      <c r="K124" s="352">
        <v>0</v>
      </c>
      <c r="L124" s="352">
        <v>0</v>
      </c>
      <c r="M124" s="352">
        <v>0</v>
      </c>
      <c r="N124" s="355" t="s">
        <v>1742</v>
      </c>
      <c r="O124" s="352">
        <f t="shared" si="16"/>
        <v>1739100</v>
      </c>
    </row>
    <row r="125" spans="1:15" s="353" customFormat="1" ht="150" x14ac:dyDescent="0.2">
      <c r="A125" s="346">
        <v>5</v>
      </c>
      <c r="B125" s="347" t="s">
        <v>1778</v>
      </c>
      <c r="C125" s="348" t="s">
        <v>1881</v>
      </c>
      <c r="D125" s="346" t="s">
        <v>1882</v>
      </c>
      <c r="E125" s="349" t="s">
        <v>1704</v>
      </c>
      <c r="F125" s="350" t="s">
        <v>706</v>
      </c>
      <c r="G125" s="350" t="s">
        <v>309</v>
      </c>
      <c r="H125" s="351" t="s">
        <v>1883</v>
      </c>
      <c r="I125" s="352">
        <v>4500</v>
      </c>
      <c r="J125" s="352"/>
      <c r="K125" s="352"/>
      <c r="L125" s="352">
        <v>2250</v>
      </c>
      <c r="M125" s="352">
        <v>2250</v>
      </c>
      <c r="N125" s="355"/>
      <c r="O125" s="352">
        <f t="shared" si="16"/>
        <v>0</v>
      </c>
    </row>
    <row r="126" spans="1:15" s="353" customFormat="1" ht="190.5" customHeight="1" x14ac:dyDescent="0.2">
      <c r="A126" s="346">
        <v>6</v>
      </c>
      <c r="B126" s="347" t="s">
        <v>1782</v>
      </c>
      <c r="C126" s="348" t="s">
        <v>1783</v>
      </c>
      <c r="D126" s="346" t="s">
        <v>1784</v>
      </c>
      <c r="E126" s="349" t="s">
        <v>705</v>
      </c>
      <c r="F126" s="350" t="s">
        <v>706</v>
      </c>
      <c r="G126" s="350" t="s">
        <v>930</v>
      </c>
      <c r="H126" s="351" t="s">
        <v>2012</v>
      </c>
      <c r="I126" s="352">
        <v>305355</v>
      </c>
      <c r="J126" s="352">
        <v>0</v>
      </c>
      <c r="K126" s="352">
        <v>0</v>
      </c>
      <c r="L126" s="352">
        <v>0</v>
      </c>
      <c r="M126" s="352">
        <v>0</v>
      </c>
      <c r="N126" s="355" t="s">
        <v>1786</v>
      </c>
      <c r="O126" s="352">
        <f t="shared" si="16"/>
        <v>305355</v>
      </c>
    </row>
    <row r="127" spans="1:15" s="353" customFormat="1" x14ac:dyDescent="0.2">
      <c r="A127" s="356" t="s">
        <v>152</v>
      </c>
      <c r="B127" s="357"/>
      <c r="C127" s="358"/>
      <c r="D127" s="359"/>
      <c r="E127" s="356"/>
      <c r="F127" s="360"/>
      <c r="G127" s="360"/>
      <c r="H127" s="361"/>
      <c r="I127" s="362">
        <f>SUM(I128:I134)</f>
        <v>2703220</v>
      </c>
      <c r="J127" s="362">
        <f t="shared" ref="J127:O127" si="17">SUM(J128:J134)</f>
        <v>80000</v>
      </c>
      <c r="K127" s="362">
        <f t="shared" si="17"/>
        <v>80000</v>
      </c>
      <c r="L127" s="362">
        <f t="shared" si="17"/>
        <v>0</v>
      </c>
      <c r="M127" s="362">
        <f t="shared" si="17"/>
        <v>0</v>
      </c>
      <c r="N127" s="362">
        <f t="shared" si="17"/>
        <v>0</v>
      </c>
      <c r="O127" s="362">
        <f t="shared" si="17"/>
        <v>2543220</v>
      </c>
    </row>
    <row r="128" spans="1:15" s="353" customFormat="1" ht="150" x14ac:dyDescent="0.2">
      <c r="A128" s="346">
        <v>1</v>
      </c>
      <c r="B128" s="347" t="s">
        <v>1652</v>
      </c>
      <c r="C128" s="348" t="s">
        <v>1711</v>
      </c>
      <c r="D128" s="346" t="s">
        <v>1712</v>
      </c>
      <c r="E128" s="349" t="s">
        <v>1251</v>
      </c>
      <c r="F128" s="350" t="s">
        <v>1252</v>
      </c>
      <c r="G128" s="350" t="s">
        <v>1253</v>
      </c>
      <c r="H128" s="351" t="s">
        <v>2013</v>
      </c>
      <c r="I128" s="352">
        <v>150000</v>
      </c>
      <c r="J128" s="352">
        <v>0</v>
      </c>
      <c r="K128" s="352">
        <v>0</v>
      </c>
      <c r="L128" s="352">
        <v>0</v>
      </c>
      <c r="M128" s="352">
        <v>0</v>
      </c>
      <c r="N128" s="355" t="s">
        <v>1713</v>
      </c>
      <c r="O128" s="352">
        <f t="shared" ref="O128:O134" si="18">+I128-(SUM(J128:N128))</f>
        <v>150000</v>
      </c>
    </row>
    <row r="129" spans="1:15" s="353" customFormat="1" ht="173.25" customHeight="1" x14ac:dyDescent="0.2">
      <c r="A129" s="346">
        <v>2</v>
      </c>
      <c r="B129" s="347" t="s">
        <v>1716</v>
      </c>
      <c r="C129" s="348" t="s">
        <v>1717</v>
      </c>
      <c r="D129" s="346" t="s">
        <v>1718</v>
      </c>
      <c r="E129" s="349" t="s">
        <v>1202</v>
      </c>
      <c r="F129" s="350" t="s">
        <v>1203</v>
      </c>
      <c r="G129" s="350" t="s">
        <v>1677</v>
      </c>
      <c r="H129" s="351" t="s">
        <v>1719</v>
      </c>
      <c r="I129" s="352">
        <v>250000</v>
      </c>
      <c r="J129" s="352">
        <v>20000</v>
      </c>
      <c r="K129" s="352">
        <v>20000</v>
      </c>
      <c r="L129" s="352">
        <v>0</v>
      </c>
      <c r="M129" s="352">
        <v>0</v>
      </c>
      <c r="N129" s="352">
        <v>0</v>
      </c>
      <c r="O129" s="352">
        <f t="shared" si="18"/>
        <v>210000</v>
      </c>
    </row>
    <row r="130" spans="1:15" s="353" customFormat="1" ht="150" x14ac:dyDescent="0.2">
      <c r="A130" s="346">
        <v>3</v>
      </c>
      <c r="B130" s="347" t="s">
        <v>1716</v>
      </c>
      <c r="C130" s="348" t="s">
        <v>1717</v>
      </c>
      <c r="D130" s="346" t="s">
        <v>1718</v>
      </c>
      <c r="E130" s="349" t="s">
        <v>1206</v>
      </c>
      <c r="F130" s="350" t="s">
        <v>1203</v>
      </c>
      <c r="G130" s="350" t="s">
        <v>1677</v>
      </c>
      <c r="H130" s="351" t="s">
        <v>1720</v>
      </c>
      <c r="I130" s="352">
        <v>250000</v>
      </c>
      <c r="J130" s="352">
        <v>20000</v>
      </c>
      <c r="K130" s="352">
        <v>20000</v>
      </c>
      <c r="L130" s="352">
        <v>0</v>
      </c>
      <c r="M130" s="352">
        <v>0</v>
      </c>
      <c r="N130" s="352">
        <v>0</v>
      </c>
      <c r="O130" s="352">
        <f t="shared" si="18"/>
        <v>210000</v>
      </c>
    </row>
    <row r="131" spans="1:15" s="353" customFormat="1" ht="150" x14ac:dyDescent="0.2">
      <c r="A131" s="346">
        <v>4</v>
      </c>
      <c r="B131" s="347" t="s">
        <v>1716</v>
      </c>
      <c r="C131" s="348" t="s">
        <v>1717</v>
      </c>
      <c r="D131" s="346" t="s">
        <v>1718</v>
      </c>
      <c r="E131" s="349" t="s">
        <v>963</v>
      </c>
      <c r="F131" s="350" t="s">
        <v>1203</v>
      </c>
      <c r="G131" s="350" t="s">
        <v>1677</v>
      </c>
      <c r="H131" s="351" t="s">
        <v>1721</v>
      </c>
      <c r="I131" s="352">
        <v>250000</v>
      </c>
      <c r="J131" s="352">
        <v>20000</v>
      </c>
      <c r="K131" s="352">
        <v>20000</v>
      </c>
      <c r="L131" s="352">
        <v>0</v>
      </c>
      <c r="M131" s="352">
        <v>0</v>
      </c>
      <c r="N131" s="352">
        <v>0</v>
      </c>
      <c r="O131" s="352">
        <f t="shared" si="18"/>
        <v>210000</v>
      </c>
    </row>
    <row r="132" spans="1:15" s="353" customFormat="1" ht="131.25" x14ac:dyDescent="0.2">
      <c r="A132" s="346">
        <v>5</v>
      </c>
      <c r="B132" s="347" t="s">
        <v>1716</v>
      </c>
      <c r="C132" s="348" t="s">
        <v>1717</v>
      </c>
      <c r="D132" s="346" t="s">
        <v>1718</v>
      </c>
      <c r="E132" s="349" t="s">
        <v>1722</v>
      </c>
      <c r="F132" s="350" t="s">
        <v>1203</v>
      </c>
      <c r="G132" s="350" t="s">
        <v>1677</v>
      </c>
      <c r="H132" s="351" t="s">
        <v>1723</v>
      </c>
      <c r="I132" s="352">
        <v>250000</v>
      </c>
      <c r="J132" s="352">
        <v>20000</v>
      </c>
      <c r="K132" s="352">
        <v>20000</v>
      </c>
      <c r="L132" s="352">
        <v>0</v>
      </c>
      <c r="M132" s="352">
        <v>0</v>
      </c>
      <c r="N132" s="352">
        <v>0</v>
      </c>
      <c r="O132" s="352">
        <f t="shared" si="18"/>
        <v>210000</v>
      </c>
    </row>
    <row r="133" spans="1:15" s="353" customFormat="1" ht="150" x14ac:dyDescent="0.2">
      <c r="A133" s="346">
        <v>6</v>
      </c>
      <c r="B133" s="347" t="s">
        <v>1874</v>
      </c>
      <c r="C133" s="348" t="s">
        <v>1875</v>
      </c>
      <c r="D133" s="346" t="s">
        <v>1876</v>
      </c>
      <c r="E133" s="349" t="s">
        <v>1877</v>
      </c>
      <c r="F133" s="350" t="s">
        <v>152</v>
      </c>
      <c r="G133" s="350" t="s">
        <v>1665</v>
      </c>
      <c r="H133" s="351" t="s">
        <v>2014</v>
      </c>
      <c r="I133" s="352">
        <v>150000</v>
      </c>
      <c r="J133" s="352">
        <v>0</v>
      </c>
      <c r="K133" s="352">
        <v>0</v>
      </c>
      <c r="L133" s="352">
        <v>0</v>
      </c>
      <c r="M133" s="352">
        <v>0</v>
      </c>
      <c r="N133" s="355" t="s">
        <v>1786</v>
      </c>
      <c r="O133" s="352">
        <f t="shared" si="18"/>
        <v>150000</v>
      </c>
    </row>
    <row r="134" spans="1:15" s="353" customFormat="1" ht="131.25" x14ac:dyDescent="0.2">
      <c r="A134" s="346">
        <v>7</v>
      </c>
      <c r="B134" s="347" t="s">
        <v>1807</v>
      </c>
      <c r="C134" s="348" t="s">
        <v>1808</v>
      </c>
      <c r="D134" s="346" t="s">
        <v>1809</v>
      </c>
      <c r="E134" s="349" t="s">
        <v>1251</v>
      </c>
      <c r="F134" s="350" t="s">
        <v>152</v>
      </c>
      <c r="G134" s="350" t="s">
        <v>1763</v>
      </c>
      <c r="H134" s="351" t="s">
        <v>2015</v>
      </c>
      <c r="I134" s="352">
        <v>1403220</v>
      </c>
      <c r="J134" s="352">
        <v>0</v>
      </c>
      <c r="K134" s="352">
        <v>0</v>
      </c>
      <c r="L134" s="352">
        <v>0</v>
      </c>
      <c r="M134" s="352">
        <v>0</v>
      </c>
      <c r="N134" s="355" t="s">
        <v>1786</v>
      </c>
      <c r="O134" s="352">
        <f t="shared" si="18"/>
        <v>1403220</v>
      </c>
    </row>
    <row r="135" spans="1:15" s="353" customFormat="1" x14ac:dyDescent="0.2">
      <c r="A135" s="356" t="s">
        <v>283</v>
      </c>
      <c r="B135" s="357"/>
      <c r="C135" s="358"/>
      <c r="D135" s="359"/>
      <c r="E135" s="356"/>
      <c r="F135" s="360"/>
      <c r="G135" s="360"/>
      <c r="H135" s="361"/>
      <c r="I135" s="362">
        <f>SUM(I136:I137)</f>
        <v>366582</v>
      </c>
      <c r="J135" s="362">
        <f t="shared" ref="J135:O135" si="19">SUM(J136:J137)</f>
        <v>29326.560000000001</v>
      </c>
      <c r="K135" s="362">
        <f t="shared" si="19"/>
        <v>29326.560000000001</v>
      </c>
      <c r="L135" s="362">
        <f t="shared" si="19"/>
        <v>0</v>
      </c>
      <c r="M135" s="362">
        <f t="shared" si="19"/>
        <v>0</v>
      </c>
      <c r="N135" s="362">
        <f t="shared" si="19"/>
        <v>0</v>
      </c>
      <c r="O135" s="362">
        <f t="shared" si="19"/>
        <v>307928.88</v>
      </c>
    </row>
    <row r="136" spans="1:15" s="353" customFormat="1" ht="187.5" x14ac:dyDescent="0.2">
      <c r="A136" s="346">
        <v>1</v>
      </c>
      <c r="B136" s="347" t="s">
        <v>1791</v>
      </c>
      <c r="C136" s="348" t="s">
        <v>1792</v>
      </c>
      <c r="D136" s="346" t="s">
        <v>1793</v>
      </c>
      <c r="E136" s="349" t="s">
        <v>1794</v>
      </c>
      <c r="F136" s="350" t="s">
        <v>283</v>
      </c>
      <c r="G136" s="350" t="s">
        <v>1795</v>
      </c>
      <c r="H136" s="351" t="s">
        <v>2016</v>
      </c>
      <c r="I136" s="352">
        <v>122194</v>
      </c>
      <c r="J136" s="352">
        <v>9775.52</v>
      </c>
      <c r="K136" s="352">
        <v>9775.52</v>
      </c>
      <c r="L136" s="352">
        <v>0</v>
      </c>
      <c r="M136" s="352">
        <v>0</v>
      </c>
      <c r="N136" s="352">
        <v>0</v>
      </c>
      <c r="O136" s="352">
        <f>+I136-(SUM(J136:N136))</f>
        <v>102642.95999999999</v>
      </c>
    </row>
    <row r="137" spans="1:15" s="353" customFormat="1" ht="187.5" x14ac:dyDescent="0.2">
      <c r="A137" s="346">
        <v>2</v>
      </c>
      <c r="B137" s="347" t="s">
        <v>1814</v>
      </c>
      <c r="C137" s="348" t="s">
        <v>1815</v>
      </c>
      <c r="D137" s="346" t="s">
        <v>1816</v>
      </c>
      <c r="E137" s="349" t="s">
        <v>1794</v>
      </c>
      <c r="F137" s="350" t="s">
        <v>283</v>
      </c>
      <c r="G137" s="350" t="s">
        <v>1795</v>
      </c>
      <c r="H137" s="351" t="s">
        <v>2017</v>
      </c>
      <c r="I137" s="352">
        <v>244388</v>
      </c>
      <c r="J137" s="352">
        <v>19551.04</v>
      </c>
      <c r="K137" s="352">
        <v>19551.04</v>
      </c>
      <c r="L137" s="352">
        <v>0</v>
      </c>
      <c r="M137" s="352">
        <v>0</v>
      </c>
      <c r="N137" s="352">
        <v>0</v>
      </c>
      <c r="O137" s="352">
        <f>+I137-(SUM(J137:N137))</f>
        <v>205285.91999999998</v>
      </c>
    </row>
    <row r="138" spans="1:15" s="353" customFormat="1" x14ac:dyDescent="0.2">
      <c r="A138" s="356" t="s">
        <v>1904</v>
      </c>
      <c r="B138" s="357"/>
      <c r="C138" s="358"/>
      <c r="D138" s="359"/>
      <c r="E138" s="356"/>
      <c r="F138" s="360"/>
      <c r="G138" s="360"/>
      <c r="H138" s="361"/>
      <c r="I138" s="362">
        <f>SUM(I139)</f>
        <v>922108</v>
      </c>
      <c r="J138" s="362">
        <f t="shared" ref="J138:O138" si="20">SUM(J139)</f>
        <v>46105.4</v>
      </c>
      <c r="K138" s="362">
        <f t="shared" si="20"/>
        <v>46105.4</v>
      </c>
      <c r="L138" s="362">
        <f t="shared" si="20"/>
        <v>0</v>
      </c>
      <c r="M138" s="362">
        <f t="shared" si="20"/>
        <v>0</v>
      </c>
      <c r="N138" s="362">
        <f t="shared" si="20"/>
        <v>0</v>
      </c>
      <c r="O138" s="362">
        <f t="shared" si="20"/>
        <v>829897.2</v>
      </c>
    </row>
    <row r="139" spans="1:15" s="353" customFormat="1" ht="187.5" x14ac:dyDescent="0.2">
      <c r="A139" s="346">
        <v>1</v>
      </c>
      <c r="B139" s="347" t="s">
        <v>1817</v>
      </c>
      <c r="C139" s="348" t="s">
        <v>1902</v>
      </c>
      <c r="D139" s="346" t="s">
        <v>1903</v>
      </c>
      <c r="E139" s="349" t="s">
        <v>1132</v>
      </c>
      <c r="F139" s="350" t="s">
        <v>1904</v>
      </c>
      <c r="G139" s="350" t="s">
        <v>1134</v>
      </c>
      <c r="H139" s="351" t="s">
        <v>2018</v>
      </c>
      <c r="I139" s="352">
        <f>829897.2+92210.8</f>
        <v>922108</v>
      </c>
      <c r="J139" s="352">
        <v>46105.4</v>
      </c>
      <c r="K139" s="352">
        <v>46105.4</v>
      </c>
      <c r="L139" s="352">
        <v>0</v>
      </c>
      <c r="M139" s="352">
        <v>0</v>
      </c>
      <c r="N139" s="355">
        <v>0</v>
      </c>
      <c r="O139" s="352">
        <f>+I139-(SUM(J139:N139))</f>
        <v>829897.2</v>
      </c>
    </row>
    <row r="140" spans="1:15" s="365" customFormat="1" ht="21.75" customHeight="1" thickBot="1" x14ac:dyDescent="0.45">
      <c r="A140" s="683" t="s">
        <v>1919</v>
      </c>
      <c r="B140" s="683"/>
      <c r="C140" s="683"/>
      <c r="D140" s="683"/>
      <c r="E140" s="683"/>
      <c r="F140" s="683"/>
      <c r="G140" s="683"/>
      <c r="H140" s="683"/>
      <c r="I140" s="364">
        <f t="shared" ref="I140:O140" si="21">SUM(I8+I16+I27+I52+I55+I76+I80+I84+I103+I120+I127+I135+I138)</f>
        <v>36613901.530000001</v>
      </c>
      <c r="J140" s="364">
        <f t="shared" si="21"/>
        <v>1210757.3999999999</v>
      </c>
      <c r="K140" s="364">
        <f t="shared" si="21"/>
        <v>1210757.3999999999</v>
      </c>
      <c r="L140" s="364">
        <f t="shared" si="21"/>
        <v>460823.76500000001</v>
      </c>
      <c r="M140" s="364">
        <f t="shared" si="21"/>
        <v>460823.755</v>
      </c>
      <c r="N140" s="364">
        <f t="shared" si="21"/>
        <v>0</v>
      </c>
      <c r="O140" s="364">
        <f t="shared" si="21"/>
        <v>33270739.210000001</v>
      </c>
    </row>
    <row r="141" spans="1:15" ht="19.5" thickTop="1" x14ac:dyDescent="0.4"/>
    <row r="145" spans="10:15" x14ac:dyDescent="0.4">
      <c r="J145" s="369"/>
      <c r="K145" s="369"/>
      <c r="L145" s="369"/>
      <c r="M145" s="369"/>
      <c r="N145" s="369"/>
      <c r="O145" s="369"/>
    </row>
    <row r="146" spans="10:15" x14ac:dyDescent="0.4">
      <c r="J146" s="369"/>
      <c r="K146" s="369"/>
      <c r="L146" s="369"/>
      <c r="M146" s="369"/>
      <c r="N146" s="369"/>
      <c r="O146" s="369"/>
    </row>
    <row r="166" spans="1:16" ht="21" x14ac:dyDescent="0.4">
      <c r="A166" s="690"/>
      <c r="B166" s="690"/>
      <c r="C166" s="690"/>
      <c r="D166" s="690"/>
      <c r="E166" s="690"/>
      <c r="F166" s="690"/>
      <c r="G166" s="690"/>
      <c r="H166" s="690"/>
      <c r="I166" s="690"/>
      <c r="J166" s="690"/>
      <c r="K166" s="690"/>
      <c r="L166" s="691"/>
      <c r="M166" s="691"/>
      <c r="N166" s="691"/>
      <c r="O166" s="691"/>
      <c r="P166" s="370"/>
    </row>
    <row r="167" spans="1:16" ht="21" x14ac:dyDescent="0.4">
      <c r="A167" s="690"/>
      <c r="B167" s="690"/>
      <c r="C167" s="690"/>
      <c r="D167" s="690"/>
      <c r="E167" s="690"/>
      <c r="F167" s="690"/>
      <c r="G167" s="690"/>
      <c r="H167" s="690"/>
      <c r="I167" s="690"/>
      <c r="J167" s="690"/>
      <c r="K167" s="690"/>
      <c r="L167" s="691"/>
      <c r="M167" s="691"/>
      <c r="N167" s="691"/>
      <c r="O167" s="691"/>
      <c r="P167" s="370"/>
    </row>
    <row r="168" spans="1:16" ht="21" x14ac:dyDescent="0.4">
      <c r="A168" s="690"/>
      <c r="B168" s="690"/>
      <c r="C168" s="690"/>
      <c r="D168" s="690"/>
      <c r="E168" s="690"/>
      <c r="F168" s="690"/>
      <c r="G168" s="690"/>
      <c r="H168" s="690"/>
      <c r="I168" s="690"/>
      <c r="J168" s="690"/>
      <c r="K168" s="690"/>
      <c r="L168" s="691"/>
      <c r="M168" s="691"/>
      <c r="N168" s="691"/>
      <c r="O168" s="691"/>
      <c r="P168" s="370"/>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40:H140"/>
    <mergeCell ref="A166:D166"/>
    <mergeCell ref="E166:G166"/>
    <mergeCell ref="H166:K166"/>
    <mergeCell ref="J6:K6"/>
    <mergeCell ref="A168:D168"/>
    <mergeCell ref="E168:G168"/>
    <mergeCell ref="H168:K168"/>
    <mergeCell ref="L168:O168"/>
    <mergeCell ref="L166:O166"/>
    <mergeCell ref="A167:D167"/>
    <mergeCell ref="E167:G167"/>
    <mergeCell ref="H167:K167"/>
    <mergeCell ref="L167:O16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4" zoomScaleNormal="100" workbookViewId="0">
      <selection activeCell="B16" sqref="B16"/>
    </sheetView>
  </sheetViews>
  <sheetFormatPr defaultRowHeight="18.75" x14ac:dyDescent="0.4"/>
  <cols>
    <col min="1" max="1" width="4.375" style="366" customWidth="1"/>
    <col min="2" max="2" width="41.375" style="366" customWidth="1"/>
    <col min="3" max="3" width="12.625" style="369" customWidth="1"/>
    <col min="4" max="7" width="11.625" style="328" customWidth="1"/>
    <col min="8" max="8" width="9.625" style="328" customWidth="1"/>
    <col min="9" max="9" width="11.625" style="328" customWidth="1"/>
    <col min="10" max="16384" width="9" style="328"/>
  </cols>
  <sheetData>
    <row r="1" spans="1:10" ht="21" x14ac:dyDescent="0.45">
      <c r="A1" s="672" t="s">
        <v>1913</v>
      </c>
      <c r="B1" s="672"/>
      <c r="C1" s="672"/>
      <c r="D1" s="672"/>
      <c r="E1" s="672"/>
      <c r="F1" s="672"/>
      <c r="G1" s="672"/>
      <c r="H1" s="672"/>
      <c r="I1" s="672"/>
    </row>
    <row r="2" spans="1:10" ht="21" x14ac:dyDescent="0.45">
      <c r="A2" s="672" t="s">
        <v>2815</v>
      </c>
      <c r="B2" s="672"/>
      <c r="C2" s="672"/>
      <c r="D2" s="672"/>
      <c r="E2" s="672"/>
      <c r="F2" s="672"/>
      <c r="G2" s="672"/>
      <c r="H2" s="672"/>
      <c r="I2" s="672"/>
    </row>
    <row r="3" spans="1:10" ht="21" x14ac:dyDescent="0.45">
      <c r="A3" s="672" t="s">
        <v>2814</v>
      </c>
      <c r="B3" s="672"/>
      <c r="C3" s="672"/>
      <c r="D3" s="672"/>
      <c r="E3" s="672"/>
      <c r="F3" s="672"/>
      <c r="G3" s="672"/>
      <c r="H3" s="672"/>
      <c r="I3" s="672"/>
    </row>
    <row r="4" spans="1:10" s="332" customFormat="1" ht="8.1" customHeight="1" x14ac:dyDescent="0.4">
      <c r="A4" s="329"/>
      <c r="B4" s="329"/>
      <c r="C4" s="333"/>
    </row>
    <row r="5" spans="1:10" s="335" customFormat="1" ht="38.1" customHeight="1" x14ac:dyDescent="0.4">
      <c r="A5" s="712" t="s">
        <v>253</v>
      </c>
      <c r="B5" s="712" t="s">
        <v>1915</v>
      </c>
      <c r="C5" s="710" t="s">
        <v>263</v>
      </c>
      <c r="D5" s="713" t="s">
        <v>255</v>
      </c>
      <c r="E5" s="713"/>
      <c r="F5" s="713"/>
      <c r="G5" s="713"/>
      <c r="H5" s="713"/>
      <c r="I5" s="712" t="s">
        <v>256</v>
      </c>
      <c r="J5" s="334"/>
    </row>
    <row r="6" spans="1:10" s="336" customFormat="1" ht="57.95" customHeight="1" x14ac:dyDescent="0.2">
      <c r="A6" s="712"/>
      <c r="B6" s="712"/>
      <c r="C6" s="710"/>
      <c r="D6" s="711" t="s">
        <v>264</v>
      </c>
      <c r="E6" s="711"/>
      <c r="F6" s="711" t="s">
        <v>265</v>
      </c>
      <c r="G6" s="711"/>
      <c r="H6" s="711"/>
      <c r="I6" s="712"/>
    </row>
    <row r="7" spans="1:10" s="335" customFormat="1" ht="60" customHeight="1" x14ac:dyDescent="0.4">
      <c r="A7" s="712"/>
      <c r="B7" s="712"/>
      <c r="C7" s="710"/>
      <c r="D7" s="480" t="s">
        <v>266</v>
      </c>
      <c r="E7" s="480" t="s">
        <v>267</v>
      </c>
      <c r="F7" s="480" t="s">
        <v>266</v>
      </c>
      <c r="G7" s="480" t="s">
        <v>267</v>
      </c>
      <c r="H7" s="480" t="s">
        <v>2816</v>
      </c>
      <c r="I7" s="712"/>
      <c r="J7" s="334"/>
    </row>
    <row r="8" spans="1:10" s="345" customFormat="1" x14ac:dyDescent="0.4">
      <c r="A8" s="346">
        <v>1</v>
      </c>
      <c r="B8" s="349" t="s">
        <v>739</v>
      </c>
      <c r="C8" s="481">
        <v>1834750</v>
      </c>
      <c r="D8" s="481">
        <v>29127</v>
      </c>
      <c r="E8" s="481">
        <v>29127</v>
      </c>
      <c r="F8" s="481">
        <v>29331.25</v>
      </c>
      <c r="G8" s="481">
        <v>29331.25</v>
      </c>
      <c r="H8" s="481">
        <v>0</v>
      </c>
      <c r="I8" s="481">
        <v>1717833.5</v>
      </c>
      <c r="J8" s="344"/>
    </row>
    <row r="9" spans="1:10" s="478" customFormat="1" x14ac:dyDescent="0.4">
      <c r="A9" s="346">
        <v>2</v>
      </c>
      <c r="B9" s="349" t="s">
        <v>360</v>
      </c>
      <c r="C9" s="397">
        <v>247224.78000000003</v>
      </c>
      <c r="D9" s="397">
        <v>19777.989999999998</v>
      </c>
      <c r="E9" s="397">
        <v>19777.989999999998</v>
      </c>
      <c r="F9" s="397">
        <v>0</v>
      </c>
      <c r="G9" s="397">
        <v>0</v>
      </c>
      <c r="H9" s="397">
        <v>0</v>
      </c>
      <c r="I9" s="397">
        <v>207668.8</v>
      </c>
      <c r="J9" s="477"/>
    </row>
    <row r="10" spans="1:10" s="477" customFormat="1" x14ac:dyDescent="0.2">
      <c r="A10" s="346">
        <v>3</v>
      </c>
      <c r="B10" s="349" t="s">
        <v>161</v>
      </c>
      <c r="C10" s="397">
        <v>1791618</v>
      </c>
      <c r="D10" s="397">
        <v>79593.399999999994</v>
      </c>
      <c r="E10" s="397">
        <v>79593.399999999994</v>
      </c>
      <c r="F10" s="397">
        <v>23875</v>
      </c>
      <c r="G10" s="397">
        <v>23875</v>
      </c>
      <c r="H10" s="397">
        <v>0</v>
      </c>
      <c r="I10" s="397">
        <v>1584681.2</v>
      </c>
    </row>
    <row r="11" spans="1:10" s="477" customFormat="1" x14ac:dyDescent="0.2">
      <c r="A11" s="346">
        <v>4</v>
      </c>
      <c r="B11" s="349" t="s">
        <v>512</v>
      </c>
      <c r="C11" s="397">
        <v>947450</v>
      </c>
      <c r="D11" s="397">
        <v>37272.5</v>
      </c>
      <c r="E11" s="397">
        <v>37272.5</v>
      </c>
      <c r="F11" s="397">
        <v>0</v>
      </c>
      <c r="G11" s="397">
        <v>0</v>
      </c>
      <c r="H11" s="397">
        <v>0</v>
      </c>
      <c r="I11" s="397">
        <v>872905</v>
      </c>
    </row>
    <row r="12" spans="1:10" s="477" customFormat="1" x14ac:dyDescent="0.2">
      <c r="A12" s="346">
        <v>5</v>
      </c>
      <c r="B12" s="349" t="s">
        <v>22</v>
      </c>
      <c r="C12" s="397">
        <v>4515693.68</v>
      </c>
      <c r="D12" s="397">
        <v>53550.29</v>
      </c>
      <c r="E12" s="397">
        <v>53550.29</v>
      </c>
      <c r="F12" s="397">
        <v>153300</v>
      </c>
      <c r="G12" s="397">
        <v>153300</v>
      </c>
      <c r="H12" s="397">
        <v>0</v>
      </c>
      <c r="I12" s="397">
        <v>4101993.1</v>
      </c>
    </row>
    <row r="13" spans="1:10" s="477" customFormat="1" x14ac:dyDescent="0.2">
      <c r="A13" s="346">
        <v>6</v>
      </c>
      <c r="B13" s="349" t="s">
        <v>1229</v>
      </c>
      <c r="C13" s="397">
        <v>291000</v>
      </c>
      <c r="D13" s="397">
        <v>0</v>
      </c>
      <c r="E13" s="397">
        <v>0</v>
      </c>
      <c r="F13" s="397">
        <v>0</v>
      </c>
      <c r="G13" s="397">
        <v>0</v>
      </c>
      <c r="H13" s="397">
        <v>0</v>
      </c>
      <c r="I13" s="397">
        <v>291000</v>
      </c>
    </row>
    <row r="14" spans="1:10" s="477" customFormat="1" x14ac:dyDescent="0.2">
      <c r="A14" s="346">
        <v>7</v>
      </c>
      <c r="B14" s="349" t="s">
        <v>19</v>
      </c>
      <c r="C14" s="397">
        <v>3662847</v>
      </c>
      <c r="D14" s="397">
        <v>179771.6</v>
      </c>
      <c r="E14" s="397">
        <v>179771.6</v>
      </c>
      <c r="F14" s="397">
        <v>33707.5</v>
      </c>
      <c r="G14" s="397">
        <v>33707.5</v>
      </c>
      <c r="H14" s="397">
        <v>0</v>
      </c>
      <c r="I14" s="397">
        <v>3235888.8</v>
      </c>
    </row>
    <row r="15" spans="1:10" s="478" customFormat="1" x14ac:dyDescent="0.4">
      <c r="A15" s="346">
        <v>8</v>
      </c>
      <c r="B15" s="349" t="s">
        <v>1067</v>
      </c>
      <c r="C15" s="397">
        <v>5723880</v>
      </c>
      <c r="D15" s="397">
        <v>270989</v>
      </c>
      <c r="E15" s="397">
        <v>270989</v>
      </c>
      <c r="F15" s="397">
        <v>0</v>
      </c>
      <c r="G15" s="397">
        <v>0</v>
      </c>
      <c r="H15" s="397">
        <v>0</v>
      </c>
      <c r="I15" s="397">
        <v>5181902</v>
      </c>
      <c r="J15" s="477"/>
    </row>
    <row r="16" spans="1:10" s="477" customFormat="1" x14ac:dyDescent="0.2">
      <c r="A16" s="346">
        <v>9</v>
      </c>
      <c r="B16" s="349" t="s">
        <v>152</v>
      </c>
      <c r="C16" s="397">
        <v>8900000</v>
      </c>
      <c r="D16" s="397">
        <v>100000</v>
      </c>
      <c r="E16" s="397">
        <v>100000</v>
      </c>
      <c r="F16" s="397">
        <v>40000</v>
      </c>
      <c r="G16" s="397">
        <v>40000</v>
      </c>
      <c r="H16" s="397">
        <v>0</v>
      </c>
      <c r="I16" s="397">
        <v>8620000</v>
      </c>
    </row>
    <row r="17" spans="1:9" s="477" customFormat="1" x14ac:dyDescent="0.2">
      <c r="A17" s="346">
        <v>10</v>
      </c>
      <c r="B17" s="349" t="s">
        <v>923</v>
      </c>
      <c r="C17" s="397">
        <v>530115</v>
      </c>
      <c r="D17" s="397">
        <v>26505.75</v>
      </c>
      <c r="E17" s="397">
        <v>26505.75</v>
      </c>
      <c r="F17" s="397">
        <v>0</v>
      </c>
      <c r="G17" s="397">
        <v>0</v>
      </c>
      <c r="H17" s="397">
        <v>0</v>
      </c>
      <c r="I17" s="397">
        <v>477103.5</v>
      </c>
    </row>
    <row r="18" spans="1:9" s="477" customFormat="1" x14ac:dyDescent="0.2">
      <c r="A18" s="346">
        <v>11</v>
      </c>
      <c r="B18" s="349" t="s">
        <v>1133</v>
      </c>
      <c r="C18" s="397">
        <v>1504492</v>
      </c>
      <c r="D18" s="397">
        <v>75224.600000000006</v>
      </c>
      <c r="E18" s="397">
        <v>75224.600000000006</v>
      </c>
      <c r="F18" s="397">
        <v>0</v>
      </c>
      <c r="G18" s="397">
        <v>0</v>
      </c>
      <c r="H18" s="397">
        <v>0</v>
      </c>
      <c r="I18" s="397">
        <v>1354042.8</v>
      </c>
    </row>
    <row r="19" spans="1:9" s="385" customFormat="1" ht="21.75" thickBot="1" x14ac:dyDescent="0.5">
      <c r="A19" s="658" t="s">
        <v>1919</v>
      </c>
      <c r="B19" s="659"/>
      <c r="C19" s="479">
        <f>SUM(C8:C18)</f>
        <v>29949070.460000001</v>
      </c>
      <c r="D19" s="479">
        <f t="shared" ref="D19:I19" si="0">SUM(D8:D18)</f>
        <v>871812.13</v>
      </c>
      <c r="E19" s="479">
        <f t="shared" si="0"/>
        <v>871812.13</v>
      </c>
      <c r="F19" s="479">
        <f t="shared" si="0"/>
        <v>280213.75</v>
      </c>
      <c r="G19" s="479">
        <f t="shared" si="0"/>
        <v>280213.75</v>
      </c>
      <c r="H19" s="479">
        <f t="shared" si="0"/>
        <v>0</v>
      </c>
      <c r="I19" s="479">
        <f t="shared" si="0"/>
        <v>27645018.699999999</v>
      </c>
    </row>
    <row r="20" spans="1:9" ht="19.5" thickTop="1" x14ac:dyDescent="0.4"/>
    <row r="21" spans="1:9" x14ac:dyDescent="0.4">
      <c r="D21" s="369"/>
      <c r="E21" s="369"/>
      <c r="F21" s="369"/>
      <c r="G21" s="369"/>
      <c r="H21" s="369"/>
      <c r="I21" s="369"/>
    </row>
    <row r="23" spans="1:9" x14ac:dyDescent="0.4">
      <c r="D23" s="369"/>
      <c r="E23" s="369"/>
      <c r="F23" s="369"/>
      <c r="G23" s="369"/>
      <c r="H23" s="369"/>
      <c r="I23" s="369"/>
    </row>
  </sheetData>
  <mergeCells count="11">
    <mergeCell ref="A19:B19"/>
    <mergeCell ref="C5:C7"/>
    <mergeCell ref="F6:H6"/>
    <mergeCell ref="D6:E6"/>
    <mergeCell ref="A1:I1"/>
    <mergeCell ref="A2:I2"/>
    <mergeCell ref="A3:I3"/>
    <mergeCell ref="A5:A7"/>
    <mergeCell ref="D5:H5"/>
    <mergeCell ref="I5:I7"/>
    <mergeCell ref="B5:B7"/>
  </mergeCells>
  <pageMargins left="0.7" right="0.7" top="0.75" bottom="0.75" header="0.3" footer="0.3"/>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workbookViewId="0">
      <selection sqref="A1:O1"/>
    </sheetView>
  </sheetViews>
  <sheetFormatPr defaultRowHeight="19.5" x14ac:dyDescent="0.45"/>
  <cols>
    <col min="1" max="1" width="4.625" style="245" customWidth="1"/>
    <col min="2" max="2" width="9.125" style="246" customWidth="1"/>
    <col min="3" max="3" width="10.625" style="245" customWidth="1"/>
    <col min="4" max="4" width="16.625" style="245" customWidth="1"/>
    <col min="5" max="5" width="22.625" style="247" customWidth="1"/>
    <col min="6" max="6" width="21.875" style="449" customWidth="1"/>
    <col min="7" max="7" width="17.125" style="449" customWidth="1"/>
    <col min="8" max="8" width="28.125" style="449"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19" t="s">
        <v>1913</v>
      </c>
      <c r="B1" s="719"/>
      <c r="C1" s="719"/>
      <c r="D1" s="719"/>
      <c r="E1" s="719"/>
      <c r="F1" s="719"/>
      <c r="G1" s="719"/>
      <c r="H1" s="719"/>
      <c r="I1" s="719"/>
      <c r="J1" s="719"/>
      <c r="K1" s="719"/>
      <c r="L1" s="719"/>
      <c r="M1" s="719"/>
      <c r="N1" s="719"/>
      <c r="O1" s="719"/>
    </row>
    <row r="2" spans="1:16" ht="21" x14ac:dyDescent="0.45">
      <c r="A2" s="719" t="s">
        <v>1920</v>
      </c>
      <c r="B2" s="719"/>
      <c r="C2" s="719"/>
      <c r="D2" s="719"/>
      <c r="E2" s="719"/>
      <c r="F2" s="719"/>
      <c r="G2" s="719"/>
      <c r="H2" s="719"/>
      <c r="I2" s="719"/>
      <c r="J2" s="719"/>
      <c r="K2" s="719"/>
      <c r="L2" s="719"/>
      <c r="M2" s="719"/>
      <c r="N2" s="719"/>
      <c r="O2" s="719"/>
    </row>
    <row r="3" spans="1:16" ht="21" x14ac:dyDescent="0.45">
      <c r="A3" s="719" t="s">
        <v>2814</v>
      </c>
      <c r="B3" s="719"/>
      <c r="C3" s="719"/>
      <c r="D3" s="719"/>
      <c r="E3" s="719"/>
      <c r="F3" s="719"/>
      <c r="G3" s="719"/>
      <c r="H3" s="719"/>
      <c r="I3" s="719"/>
      <c r="J3" s="719"/>
      <c r="K3" s="719"/>
      <c r="L3" s="719"/>
      <c r="M3" s="719"/>
      <c r="N3" s="719"/>
      <c r="O3" s="719"/>
    </row>
    <row r="4" spans="1:16" s="210" customFormat="1" ht="8.1" customHeight="1" thickBot="1" x14ac:dyDescent="0.5">
      <c r="A4" s="207"/>
      <c r="B4" s="208"/>
      <c r="C4" s="245"/>
      <c r="D4" s="245"/>
      <c r="E4" s="247"/>
      <c r="F4" s="449"/>
      <c r="G4" s="449"/>
      <c r="H4" s="449"/>
      <c r="I4" s="211"/>
    </row>
    <row r="5" spans="1:16" s="213" customFormat="1" ht="38.1" customHeight="1" x14ac:dyDescent="0.4">
      <c r="A5" s="720" t="s">
        <v>253</v>
      </c>
      <c r="B5" s="722" t="s">
        <v>254</v>
      </c>
      <c r="C5" s="723"/>
      <c r="D5" s="723"/>
      <c r="E5" s="723"/>
      <c r="F5" s="723"/>
      <c r="G5" s="723"/>
      <c r="H5" s="723"/>
      <c r="I5" s="724"/>
      <c r="J5" s="725" t="s">
        <v>255</v>
      </c>
      <c r="K5" s="726"/>
      <c r="L5" s="726"/>
      <c r="M5" s="726"/>
      <c r="N5" s="727"/>
      <c r="O5" s="728" t="s">
        <v>256</v>
      </c>
      <c r="P5" s="212"/>
    </row>
    <row r="6" spans="1:16" s="214" customFormat="1" ht="57.95" customHeight="1" x14ac:dyDescent="0.2">
      <c r="A6" s="721"/>
      <c r="B6" s="730" t="s">
        <v>257</v>
      </c>
      <c r="C6" s="732" t="s">
        <v>2</v>
      </c>
      <c r="D6" s="732" t="s">
        <v>258</v>
      </c>
      <c r="E6" s="733" t="s">
        <v>259</v>
      </c>
      <c r="F6" s="732" t="s">
        <v>260</v>
      </c>
      <c r="G6" s="732" t="s">
        <v>261</v>
      </c>
      <c r="H6" s="732" t="s">
        <v>262</v>
      </c>
      <c r="I6" s="736" t="s">
        <v>263</v>
      </c>
      <c r="J6" s="716" t="s">
        <v>264</v>
      </c>
      <c r="K6" s="717"/>
      <c r="L6" s="716" t="s">
        <v>265</v>
      </c>
      <c r="M6" s="717"/>
      <c r="N6" s="734"/>
      <c r="O6" s="729"/>
    </row>
    <row r="7" spans="1:16" s="213" customFormat="1" ht="60" customHeight="1" x14ac:dyDescent="0.4">
      <c r="A7" s="721"/>
      <c r="B7" s="731"/>
      <c r="C7" s="733"/>
      <c r="D7" s="733"/>
      <c r="E7" s="735"/>
      <c r="F7" s="733"/>
      <c r="G7" s="733"/>
      <c r="H7" s="733"/>
      <c r="I7" s="737"/>
      <c r="J7" s="463" t="s">
        <v>266</v>
      </c>
      <c r="K7" s="463" t="s">
        <v>267</v>
      </c>
      <c r="L7" s="463" t="s">
        <v>266</v>
      </c>
      <c r="M7" s="463" t="s">
        <v>267</v>
      </c>
      <c r="N7" s="463" t="s">
        <v>894</v>
      </c>
      <c r="O7" s="729"/>
      <c r="P7" s="212"/>
    </row>
    <row r="8" spans="1:16" s="462" customFormat="1" ht="18.75" x14ac:dyDescent="0.4">
      <c r="A8" s="464" t="s">
        <v>739</v>
      </c>
      <c r="B8" s="472"/>
      <c r="C8" s="473"/>
      <c r="D8" s="473"/>
      <c r="E8" s="473"/>
      <c r="F8" s="473"/>
      <c r="G8" s="473"/>
      <c r="H8" s="473"/>
      <c r="I8" s="474">
        <f>SUM(I9:I14)</f>
        <v>1834750</v>
      </c>
      <c r="J8" s="474">
        <f t="shared" ref="J8:O8" si="0">SUM(J9:J14)</f>
        <v>29127</v>
      </c>
      <c r="K8" s="474">
        <f t="shared" si="0"/>
        <v>29127</v>
      </c>
      <c r="L8" s="474">
        <f t="shared" si="0"/>
        <v>29331.25</v>
      </c>
      <c r="M8" s="474">
        <f t="shared" si="0"/>
        <v>29331.25</v>
      </c>
      <c r="N8" s="474">
        <f t="shared" si="0"/>
        <v>0</v>
      </c>
      <c r="O8" s="474">
        <f t="shared" si="0"/>
        <v>1717833.5</v>
      </c>
      <c r="P8" s="461"/>
    </row>
    <row r="9" spans="1:16" ht="24" customHeight="1" x14ac:dyDescent="0.45">
      <c r="A9" s="451">
        <v>10</v>
      </c>
      <c r="B9" s="452" t="s">
        <v>1164</v>
      </c>
      <c r="C9" s="453" t="s">
        <v>1171</v>
      </c>
      <c r="D9" s="453" t="s">
        <v>1172</v>
      </c>
      <c r="E9" s="454" t="s">
        <v>1173</v>
      </c>
      <c r="F9" s="454" t="s">
        <v>739</v>
      </c>
      <c r="G9" s="454" t="s">
        <v>1162</v>
      </c>
      <c r="H9" s="455" t="s">
        <v>1174</v>
      </c>
      <c r="I9" s="450">
        <v>247000</v>
      </c>
      <c r="J9" s="450"/>
      <c r="K9" s="450"/>
      <c r="L9" s="450">
        <v>12350</v>
      </c>
      <c r="M9" s="450">
        <v>12350</v>
      </c>
      <c r="N9" s="450"/>
      <c r="O9" s="450">
        <f t="shared" ref="O9:O14" si="1">+I9-(SUM(J9:N9))</f>
        <v>222300</v>
      </c>
      <c r="P9" s="228"/>
    </row>
    <row r="10" spans="1:16" s="228" customFormat="1" ht="24" customHeight="1" x14ac:dyDescent="0.2">
      <c r="A10" s="451">
        <v>13</v>
      </c>
      <c r="B10" s="452" t="s">
        <v>1182</v>
      </c>
      <c r="C10" s="453" t="s">
        <v>1183</v>
      </c>
      <c r="D10" s="453" t="s">
        <v>1184</v>
      </c>
      <c r="E10" s="454" t="s">
        <v>1185</v>
      </c>
      <c r="F10" s="454" t="s">
        <v>1186</v>
      </c>
      <c r="G10" s="454" t="s">
        <v>1187</v>
      </c>
      <c r="H10" s="455" t="s">
        <v>1188</v>
      </c>
      <c r="I10" s="450">
        <v>430625</v>
      </c>
      <c r="J10" s="450">
        <v>0</v>
      </c>
      <c r="K10" s="450">
        <v>0</v>
      </c>
      <c r="L10" s="450">
        <v>0</v>
      </c>
      <c r="M10" s="450">
        <v>0</v>
      </c>
      <c r="N10" s="475" t="s">
        <v>1189</v>
      </c>
      <c r="O10" s="450">
        <f t="shared" si="1"/>
        <v>430625</v>
      </c>
    </row>
    <row r="11" spans="1:16" s="228" customFormat="1" ht="24" customHeight="1" x14ac:dyDescent="0.2">
      <c r="A11" s="451">
        <v>20</v>
      </c>
      <c r="B11" s="452" t="s">
        <v>1211</v>
      </c>
      <c r="C11" s="453" t="s">
        <v>1212</v>
      </c>
      <c r="D11" s="453" t="s">
        <v>1213</v>
      </c>
      <c r="E11" s="454" t="s">
        <v>1185</v>
      </c>
      <c r="F11" s="454" t="s">
        <v>739</v>
      </c>
      <c r="G11" s="454" t="s">
        <v>1214</v>
      </c>
      <c r="H11" s="455" t="s">
        <v>1215</v>
      </c>
      <c r="I11" s="450">
        <v>58254</v>
      </c>
      <c r="J11" s="450">
        <v>29127</v>
      </c>
      <c r="K11" s="450">
        <v>29127</v>
      </c>
      <c r="L11" s="450">
        <v>0</v>
      </c>
      <c r="M11" s="450">
        <v>0</v>
      </c>
      <c r="N11" s="450">
        <v>0</v>
      </c>
      <c r="O11" s="450">
        <f t="shared" si="1"/>
        <v>0</v>
      </c>
    </row>
    <row r="12" spans="1:16" s="228" customFormat="1" ht="24" customHeight="1" x14ac:dyDescent="0.2">
      <c r="A12" s="451">
        <v>28</v>
      </c>
      <c r="B12" s="452" t="s">
        <v>1237</v>
      </c>
      <c r="C12" s="453" t="s">
        <v>1241</v>
      </c>
      <c r="D12" s="453" t="s">
        <v>1242</v>
      </c>
      <c r="E12" s="454" t="s">
        <v>1173</v>
      </c>
      <c r="F12" s="454" t="s">
        <v>739</v>
      </c>
      <c r="G12" s="454" t="s">
        <v>1162</v>
      </c>
      <c r="H12" s="455" t="s">
        <v>1243</v>
      </c>
      <c r="I12" s="450">
        <v>339625</v>
      </c>
      <c r="J12" s="450">
        <v>0</v>
      </c>
      <c r="K12" s="450">
        <v>0</v>
      </c>
      <c r="L12" s="450">
        <v>16981.25</v>
      </c>
      <c r="M12" s="450">
        <v>16981.25</v>
      </c>
      <c r="N12" s="450">
        <v>0</v>
      </c>
      <c r="O12" s="450">
        <f t="shared" si="1"/>
        <v>305662.5</v>
      </c>
    </row>
    <row r="13" spans="1:16" s="228" customFormat="1" ht="24" customHeight="1" x14ac:dyDescent="0.2">
      <c r="A13" s="451">
        <v>29</v>
      </c>
      <c r="B13" s="452" t="s">
        <v>1244</v>
      </c>
      <c r="C13" s="453" t="s">
        <v>1245</v>
      </c>
      <c r="D13" s="453" t="s">
        <v>1246</v>
      </c>
      <c r="E13" s="454" t="s">
        <v>1185</v>
      </c>
      <c r="F13" s="454" t="s">
        <v>739</v>
      </c>
      <c r="G13" s="454" t="s">
        <v>1187</v>
      </c>
      <c r="H13" s="455" t="s">
        <v>1247</v>
      </c>
      <c r="I13" s="450">
        <v>204300</v>
      </c>
      <c r="J13" s="450">
        <v>0</v>
      </c>
      <c r="K13" s="450">
        <v>0</v>
      </c>
      <c r="L13" s="450">
        <v>0</v>
      </c>
      <c r="M13" s="450">
        <v>0</v>
      </c>
      <c r="N13" s="456" t="s">
        <v>1248</v>
      </c>
      <c r="O13" s="450">
        <f t="shared" si="1"/>
        <v>204300</v>
      </c>
    </row>
    <row r="14" spans="1:16" ht="24" customHeight="1" x14ac:dyDescent="0.45">
      <c r="A14" s="451">
        <v>40</v>
      </c>
      <c r="B14" s="452">
        <v>242796</v>
      </c>
      <c r="C14" s="457" t="s">
        <v>932</v>
      </c>
      <c r="D14" s="453" t="s">
        <v>933</v>
      </c>
      <c r="E14" s="454" t="s">
        <v>1185</v>
      </c>
      <c r="F14" s="454" t="s">
        <v>739</v>
      </c>
      <c r="G14" s="454" t="s">
        <v>1214</v>
      </c>
      <c r="H14" s="458" t="s">
        <v>1282</v>
      </c>
      <c r="I14" s="450">
        <v>554946</v>
      </c>
      <c r="J14" s="450">
        <v>0</v>
      </c>
      <c r="K14" s="450">
        <v>0</v>
      </c>
      <c r="L14" s="450">
        <v>0</v>
      </c>
      <c r="M14" s="450">
        <v>0</v>
      </c>
      <c r="N14" s="450">
        <v>0</v>
      </c>
      <c r="O14" s="450">
        <f t="shared" si="1"/>
        <v>554946</v>
      </c>
      <c r="P14" s="228"/>
    </row>
    <row r="15" spans="1:16" ht="24" customHeight="1" x14ac:dyDescent="0.45">
      <c r="A15" s="464" t="s">
        <v>360</v>
      </c>
      <c r="B15" s="465"/>
      <c r="C15" s="466"/>
      <c r="D15" s="467"/>
      <c r="E15" s="464"/>
      <c r="F15" s="464"/>
      <c r="G15" s="464"/>
      <c r="H15" s="470"/>
      <c r="I15" s="469">
        <f>SUM(I16:I17)</f>
        <v>247224.78000000003</v>
      </c>
      <c r="J15" s="469">
        <f t="shared" ref="J15:O15" si="2">SUM(J16:J17)</f>
        <v>19777.989999999998</v>
      </c>
      <c r="K15" s="469">
        <f t="shared" si="2"/>
        <v>19777.989999999998</v>
      </c>
      <c r="L15" s="469">
        <f t="shared" si="2"/>
        <v>0</v>
      </c>
      <c r="M15" s="469">
        <f t="shared" si="2"/>
        <v>0</v>
      </c>
      <c r="N15" s="469">
        <f t="shared" si="2"/>
        <v>0</v>
      </c>
      <c r="O15" s="469">
        <f t="shared" si="2"/>
        <v>207668.8</v>
      </c>
      <c r="P15" s="228"/>
    </row>
    <row r="16" spans="1:16" s="228" customFormat="1" ht="24" customHeight="1" x14ac:dyDescent="0.2">
      <c r="A16" s="451">
        <v>48</v>
      </c>
      <c r="B16" s="452" t="s">
        <v>1097</v>
      </c>
      <c r="C16" s="459" t="s">
        <v>1109</v>
      </c>
      <c r="D16" s="453" t="s">
        <v>1114</v>
      </c>
      <c r="E16" s="454" t="s">
        <v>1115</v>
      </c>
      <c r="F16" s="454" t="s">
        <v>360</v>
      </c>
      <c r="G16" s="454" t="s">
        <v>1116</v>
      </c>
      <c r="H16" s="455" t="s">
        <v>1117</v>
      </c>
      <c r="I16" s="450">
        <v>149833.20000000001</v>
      </c>
      <c r="J16" s="450">
        <v>11986.66</v>
      </c>
      <c r="K16" s="450">
        <v>11986.66</v>
      </c>
      <c r="L16" s="450">
        <v>0</v>
      </c>
      <c r="M16" s="450">
        <v>0</v>
      </c>
      <c r="N16" s="450">
        <v>0</v>
      </c>
      <c r="O16" s="450">
        <f>+I16-(SUM(J16:N16))</f>
        <v>125859.88</v>
      </c>
    </row>
    <row r="17" spans="1:15" s="228" customFormat="1" ht="24" customHeight="1" x14ac:dyDescent="0.2">
      <c r="A17" s="451">
        <v>49</v>
      </c>
      <c r="B17" s="452" t="s">
        <v>1097</v>
      </c>
      <c r="C17" s="459" t="s">
        <v>1109</v>
      </c>
      <c r="D17" s="453" t="s">
        <v>1118</v>
      </c>
      <c r="E17" s="454" t="s">
        <v>1115</v>
      </c>
      <c r="F17" s="454" t="s">
        <v>360</v>
      </c>
      <c r="G17" s="454" t="s">
        <v>1116</v>
      </c>
      <c r="H17" s="455" t="s">
        <v>1119</v>
      </c>
      <c r="I17" s="450">
        <v>97391.58</v>
      </c>
      <c r="J17" s="450">
        <v>7791.33</v>
      </c>
      <c r="K17" s="450">
        <v>7791.33</v>
      </c>
      <c r="L17" s="450">
        <v>0</v>
      </c>
      <c r="M17" s="450">
        <v>0</v>
      </c>
      <c r="N17" s="450">
        <v>0</v>
      </c>
      <c r="O17" s="450">
        <f>+I17-(SUM(J17:N17))</f>
        <v>81808.92</v>
      </c>
    </row>
    <row r="18" spans="1:15" s="228" customFormat="1" ht="24" customHeight="1" x14ac:dyDescent="0.2">
      <c r="A18" s="464" t="s">
        <v>161</v>
      </c>
      <c r="B18" s="465"/>
      <c r="C18" s="471"/>
      <c r="D18" s="467"/>
      <c r="E18" s="464"/>
      <c r="F18" s="464"/>
      <c r="G18" s="464"/>
      <c r="H18" s="468"/>
      <c r="I18" s="469">
        <f>SUM(I19:I26)</f>
        <v>1791618</v>
      </c>
      <c r="J18" s="469">
        <f t="shared" ref="J18:O18" si="3">SUM(J19:J26)</f>
        <v>79593.399999999994</v>
      </c>
      <c r="K18" s="469">
        <f t="shared" si="3"/>
        <v>79593.399999999994</v>
      </c>
      <c r="L18" s="469">
        <f t="shared" si="3"/>
        <v>23875</v>
      </c>
      <c r="M18" s="469">
        <f t="shared" si="3"/>
        <v>23875</v>
      </c>
      <c r="N18" s="469">
        <f t="shared" si="3"/>
        <v>0</v>
      </c>
      <c r="O18" s="469">
        <f t="shared" si="3"/>
        <v>1584681.2</v>
      </c>
    </row>
    <row r="19" spans="1:15" s="228" customFormat="1" ht="24" customHeight="1" x14ac:dyDescent="0.2">
      <c r="A19" s="451">
        <v>8</v>
      </c>
      <c r="B19" s="452" t="s">
        <v>954</v>
      </c>
      <c r="C19" s="453" t="s">
        <v>955</v>
      </c>
      <c r="D19" s="453" t="s">
        <v>956</v>
      </c>
      <c r="E19" s="454" t="s">
        <v>957</v>
      </c>
      <c r="F19" s="454" t="s">
        <v>161</v>
      </c>
      <c r="G19" s="454" t="s">
        <v>958</v>
      </c>
      <c r="H19" s="455" t="s">
        <v>959</v>
      </c>
      <c r="I19" s="450">
        <v>152000</v>
      </c>
      <c r="J19" s="450">
        <v>0</v>
      </c>
      <c r="K19" s="450">
        <v>0</v>
      </c>
      <c r="L19" s="450">
        <v>0</v>
      </c>
      <c r="M19" s="450">
        <v>0</v>
      </c>
      <c r="N19" s="460" t="s">
        <v>311</v>
      </c>
      <c r="O19" s="450">
        <f t="shared" ref="O19:O26" si="4">+I19-(SUM(J19:N19))</f>
        <v>152000</v>
      </c>
    </row>
    <row r="20" spans="1:15" s="228" customFormat="1" ht="24" customHeight="1" x14ac:dyDescent="0.2">
      <c r="A20" s="451">
        <v>10</v>
      </c>
      <c r="B20" s="452" t="s">
        <v>966</v>
      </c>
      <c r="C20" s="453" t="s">
        <v>967</v>
      </c>
      <c r="D20" s="453" t="s">
        <v>968</v>
      </c>
      <c r="E20" s="454" t="s">
        <v>969</v>
      </c>
      <c r="F20" s="454" t="s">
        <v>161</v>
      </c>
      <c r="G20" s="454" t="s">
        <v>970</v>
      </c>
      <c r="H20" s="455" t="s">
        <v>971</v>
      </c>
      <c r="I20" s="450">
        <v>79092</v>
      </c>
      <c r="J20" s="450">
        <v>3954.6</v>
      </c>
      <c r="K20" s="450">
        <v>3954.6</v>
      </c>
      <c r="L20" s="450">
        <v>0</v>
      </c>
      <c r="M20" s="450">
        <v>0</v>
      </c>
      <c r="N20" s="450">
        <v>0</v>
      </c>
      <c r="O20" s="450">
        <f t="shared" si="4"/>
        <v>71182.8</v>
      </c>
    </row>
    <row r="21" spans="1:15" s="228" customFormat="1" ht="24" customHeight="1" x14ac:dyDescent="0.2">
      <c r="A21" s="451">
        <v>25</v>
      </c>
      <c r="B21" s="452" t="s">
        <v>1015</v>
      </c>
      <c r="C21" s="453" t="s">
        <v>1016</v>
      </c>
      <c r="D21" s="453" t="s">
        <v>1017</v>
      </c>
      <c r="E21" s="454" t="s">
        <v>1018</v>
      </c>
      <c r="F21" s="454" t="s">
        <v>161</v>
      </c>
      <c r="G21" s="454" t="s">
        <v>1019</v>
      </c>
      <c r="H21" s="455" t="s">
        <v>1020</v>
      </c>
      <c r="I21" s="450">
        <v>88440</v>
      </c>
      <c r="J21" s="450">
        <v>4422</v>
      </c>
      <c r="K21" s="450">
        <v>4422</v>
      </c>
      <c r="L21" s="450">
        <v>0</v>
      </c>
      <c r="M21" s="450">
        <v>0</v>
      </c>
      <c r="N21" s="450">
        <v>0</v>
      </c>
      <c r="O21" s="450">
        <f t="shared" si="4"/>
        <v>79596</v>
      </c>
    </row>
    <row r="22" spans="1:15" s="228" customFormat="1" ht="24" customHeight="1" x14ac:dyDescent="0.2">
      <c r="A22" s="451">
        <v>29</v>
      </c>
      <c r="B22" s="452" t="s">
        <v>1036</v>
      </c>
      <c r="C22" s="453" t="s">
        <v>1037</v>
      </c>
      <c r="D22" s="453" t="s">
        <v>1038</v>
      </c>
      <c r="E22" s="454" t="s">
        <v>969</v>
      </c>
      <c r="F22" s="454" t="s">
        <v>161</v>
      </c>
      <c r="G22" s="454" t="s">
        <v>1039</v>
      </c>
      <c r="H22" s="455" t="s">
        <v>1040</v>
      </c>
      <c r="I22" s="450">
        <f>37568.7+1977.3</f>
        <v>39546</v>
      </c>
      <c r="J22" s="450">
        <v>1977.3000000000002</v>
      </c>
      <c r="K22" s="450">
        <v>1977.3000000000002</v>
      </c>
      <c r="L22" s="450">
        <v>0</v>
      </c>
      <c r="M22" s="450">
        <v>0</v>
      </c>
      <c r="N22" s="450">
        <v>0</v>
      </c>
      <c r="O22" s="450">
        <f t="shared" si="4"/>
        <v>35591.4</v>
      </c>
    </row>
    <row r="23" spans="1:15" s="228" customFormat="1" ht="24" customHeight="1" x14ac:dyDescent="0.2">
      <c r="A23" s="451">
        <v>31</v>
      </c>
      <c r="B23" s="452" t="s">
        <v>1047</v>
      </c>
      <c r="C23" s="453" t="s">
        <v>1048</v>
      </c>
      <c r="D23" s="453" t="s">
        <v>1049</v>
      </c>
      <c r="E23" s="454" t="s">
        <v>1018</v>
      </c>
      <c r="F23" s="454" t="s">
        <v>161</v>
      </c>
      <c r="G23" s="454" t="s">
        <v>1050</v>
      </c>
      <c r="H23" s="455" t="s">
        <v>1051</v>
      </c>
      <c r="I23" s="450">
        <v>78540</v>
      </c>
      <c r="J23" s="450">
        <v>3927</v>
      </c>
      <c r="K23" s="450">
        <v>3927</v>
      </c>
      <c r="L23" s="450">
        <v>0</v>
      </c>
      <c r="M23" s="450">
        <v>0</v>
      </c>
      <c r="N23" s="450">
        <v>0</v>
      </c>
      <c r="O23" s="450">
        <f t="shared" si="4"/>
        <v>70686</v>
      </c>
    </row>
    <row r="24" spans="1:15" s="228" customFormat="1" ht="24" customHeight="1" x14ac:dyDescent="0.2">
      <c r="A24" s="451">
        <v>32</v>
      </c>
      <c r="B24" s="452" t="s">
        <v>1052</v>
      </c>
      <c r="C24" s="453" t="s">
        <v>1053</v>
      </c>
      <c r="D24" s="453" t="s">
        <v>1054</v>
      </c>
      <c r="E24" s="454" t="s">
        <v>1018</v>
      </c>
      <c r="F24" s="454" t="s">
        <v>161</v>
      </c>
      <c r="G24" s="454" t="s">
        <v>1055</v>
      </c>
      <c r="H24" s="455" t="s">
        <v>1056</v>
      </c>
      <c r="I24" s="450">
        <v>96250</v>
      </c>
      <c r="J24" s="450">
        <v>4812.5</v>
      </c>
      <c r="K24" s="450">
        <v>4812.5</v>
      </c>
      <c r="L24" s="450">
        <v>0</v>
      </c>
      <c r="M24" s="450">
        <v>0</v>
      </c>
      <c r="N24" s="450">
        <v>0</v>
      </c>
      <c r="O24" s="450">
        <f t="shared" si="4"/>
        <v>86625</v>
      </c>
    </row>
    <row r="25" spans="1:15" s="228" customFormat="1" ht="24" customHeight="1" x14ac:dyDescent="0.2">
      <c r="A25" s="451">
        <v>39</v>
      </c>
      <c r="B25" s="452" t="s">
        <v>1081</v>
      </c>
      <c r="C25" s="453" t="s">
        <v>1085</v>
      </c>
      <c r="D25" s="453" t="s">
        <v>1086</v>
      </c>
      <c r="E25" s="454" t="s">
        <v>1087</v>
      </c>
      <c r="F25" s="454" t="s">
        <v>161</v>
      </c>
      <c r="G25" s="454" t="s">
        <v>1088</v>
      </c>
      <c r="H25" s="455" t="s">
        <v>1089</v>
      </c>
      <c r="I25" s="450">
        <v>1210000</v>
      </c>
      <c r="J25" s="450">
        <v>60500</v>
      </c>
      <c r="K25" s="450">
        <v>60500</v>
      </c>
      <c r="L25" s="450">
        <v>0</v>
      </c>
      <c r="M25" s="450">
        <v>0</v>
      </c>
      <c r="N25" s="450">
        <v>0</v>
      </c>
      <c r="O25" s="450">
        <f t="shared" si="4"/>
        <v>1089000</v>
      </c>
    </row>
    <row r="26" spans="1:15" s="228" customFormat="1" ht="24" customHeight="1" x14ac:dyDescent="0.2">
      <c r="A26" s="451">
        <v>44</v>
      </c>
      <c r="B26" s="452" t="s">
        <v>1097</v>
      </c>
      <c r="C26" s="453" t="s">
        <v>1101</v>
      </c>
      <c r="D26" s="453" t="s">
        <v>1102</v>
      </c>
      <c r="E26" s="454" t="s">
        <v>628</v>
      </c>
      <c r="F26" s="454" t="s">
        <v>161</v>
      </c>
      <c r="G26" s="454" t="s">
        <v>1103</v>
      </c>
      <c r="H26" s="455" t="s">
        <v>1104</v>
      </c>
      <c r="I26" s="450">
        <v>47750</v>
      </c>
      <c r="J26" s="450">
        <v>0</v>
      </c>
      <c r="K26" s="450">
        <v>0</v>
      </c>
      <c r="L26" s="450">
        <v>23875</v>
      </c>
      <c r="M26" s="450">
        <v>23875</v>
      </c>
      <c r="N26" s="450">
        <v>0</v>
      </c>
      <c r="O26" s="450">
        <f t="shared" si="4"/>
        <v>0</v>
      </c>
    </row>
    <row r="27" spans="1:15" s="228" customFormat="1" ht="24" customHeight="1" x14ac:dyDescent="0.2">
      <c r="A27" s="464" t="s">
        <v>512</v>
      </c>
      <c r="B27" s="465"/>
      <c r="C27" s="467"/>
      <c r="D27" s="467"/>
      <c r="E27" s="464"/>
      <c r="F27" s="464"/>
      <c r="G27" s="464"/>
      <c r="H27" s="468"/>
      <c r="I27" s="469">
        <f>SUM(I28:I35)</f>
        <v>947450</v>
      </c>
      <c r="J27" s="469">
        <f t="shared" ref="J27:O27" si="5">SUM(J28:J35)</f>
        <v>37272.5</v>
      </c>
      <c r="K27" s="469">
        <f t="shared" si="5"/>
        <v>37272.5</v>
      </c>
      <c r="L27" s="469">
        <f t="shared" si="5"/>
        <v>0</v>
      </c>
      <c r="M27" s="469">
        <f t="shared" si="5"/>
        <v>0</v>
      </c>
      <c r="N27" s="469">
        <f t="shared" si="5"/>
        <v>0</v>
      </c>
      <c r="O27" s="469">
        <f t="shared" si="5"/>
        <v>872905</v>
      </c>
    </row>
    <row r="28" spans="1:15" s="228" customFormat="1" ht="24" customHeight="1" x14ac:dyDescent="0.2">
      <c r="A28" s="451">
        <v>3</v>
      </c>
      <c r="B28" s="452" t="s">
        <v>1136</v>
      </c>
      <c r="C28" s="453" t="s">
        <v>1137</v>
      </c>
      <c r="D28" s="453" t="s">
        <v>1138</v>
      </c>
      <c r="E28" s="454" t="s">
        <v>1139</v>
      </c>
      <c r="F28" s="454" t="s">
        <v>512</v>
      </c>
      <c r="G28" s="454" t="s">
        <v>1134</v>
      </c>
      <c r="H28" s="455" t="s">
        <v>1140</v>
      </c>
      <c r="I28" s="450">
        <v>8800</v>
      </c>
      <c r="J28" s="450">
        <v>4400</v>
      </c>
      <c r="K28" s="450">
        <v>4400</v>
      </c>
      <c r="L28" s="450">
        <v>0</v>
      </c>
      <c r="M28" s="450">
        <v>0</v>
      </c>
      <c r="N28" s="450"/>
      <c r="O28" s="450">
        <f t="shared" ref="O28:O35" si="6">+I28-(SUM(J28:N28))</f>
        <v>0</v>
      </c>
    </row>
    <row r="29" spans="1:15" s="228" customFormat="1" ht="24" customHeight="1" x14ac:dyDescent="0.2">
      <c r="A29" s="451">
        <v>15</v>
      </c>
      <c r="B29" s="452" t="s">
        <v>1194</v>
      </c>
      <c r="C29" s="453" t="s">
        <v>1195</v>
      </c>
      <c r="D29" s="453" t="s">
        <v>1196</v>
      </c>
      <c r="E29" s="454" t="s">
        <v>1197</v>
      </c>
      <c r="F29" s="454" t="s">
        <v>512</v>
      </c>
      <c r="G29" s="454" t="s">
        <v>1198</v>
      </c>
      <c r="H29" s="455" t="s">
        <v>1199</v>
      </c>
      <c r="I29" s="450">
        <v>191235</v>
      </c>
      <c r="J29" s="450">
        <v>9561.75</v>
      </c>
      <c r="K29" s="450">
        <v>9561.75</v>
      </c>
      <c r="L29" s="450">
        <v>0</v>
      </c>
      <c r="M29" s="450">
        <v>0</v>
      </c>
      <c r="N29" s="450">
        <v>0</v>
      </c>
      <c r="O29" s="450">
        <f t="shared" si="6"/>
        <v>172111.5</v>
      </c>
    </row>
    <row r="30" spans="1:15" s="228" customFormat="1" ht="24" customHeight="1" x14ac:dyDescent="0.2">
      <c r="A30" s="451">
        <v>21</v>
      </c>
      <c r="B30" s="452" t="s">
        <v>1060</v>
      </c>
      <c r="C30" s="453" t="s">
        <v>1216</v>
      </c>
      <c r="D30" s="453" t="s">
        <v>1217</v>
      </c>
      <c r="E30" s="454" t="s">
        <v>1197</v>
      </c>
      <c r="F30" s="454" t="s">
        <v>512</v>
      </c>
      <c r="G30" s="454" t="s">
        <v>1198</v>
      </c>
      <c r="H30" s="455" t="s">
        <v>1218</v>
      </c>
      <c r="I30" s="450">
        <v>318725</v>
      </c>
      <c r="J30" s="450">
        <v>15936.25</v>
      </c>
      <c r="K30" s="450">
        <v>15936.25</v>
      </c>
      <c r="L30" s="450">
        <v>0</v>
      </c>
      <c r="M30" s="450">
        <v>0</v>
      </c>
      <c r="N30" s="450">
        <v>0</v>
      </c>
      <c r="O30" s="450">
        <f t="shared" si="6"/>
        <v>286852.5</v>
      </c>
    </row>
    <row r="31" spans="1:15" s="228" customFormat="1" ht="24" customHeight="1" x14ac:dyDescent="0.2">
      <c r="A31" s="451">
        <v>22</v>
      </c>
      <c r="B31" s="452" t="s">
        <v>1060</v>
      </c>
      <c r="C31" s="453" t="s">
        <v>1219</v>
      </c>
      <c r="D31" s="453" t="s">
        <v>1220</v>
      </c>
      <c r="E31" s="454" t="s">
        <v>1139</v>
      </c>
      <c r="F31" s="454" t="s">
        <v>512</v>
      </c>
      <c r="G31" s="454" t="s">
        <v>1134</v>
      </c>
      <c r="H31" s="455" t="s">
        <v>1221</v>
      </c>
      <c r="I31" s="450">
        <v>2000</v>
      </c>
      <c r="J31" s="450">
        <v>1000</v>
      </c>
      <c r="K31" s="450">
        <v>1000</v>
      </c>
      <c r="L31" s="450">
        <v>0</v>
      </c>
      <c r="M31" s="450">
        <v>0</v>
      </c>
      <c r="N31" s="450">
        <v>0</v>
      </c>
      <c r="O31" s="450">
        <f t="shared" si="6"/>
        <v>0</v>
      </c>
    </row>
    <row r="32" spans="1:15" s="228" customFormat="1" ht="24" customHeight="1" x14ac:dyDescent="0.2">
      <c r="A32" s="451">
        <v>32</v>
      </c>
      <c r="B32" s="452" t="s">
        <v>1096</v>
      </c>
      <c r="C32" s="453" t="s">
        <v>1259</v>
      </c>
      <c r="D32" s="453" t="s">
        <v>1260</v>
      </c>
      <c r="E32" s="454" t="s">
        <v>1197</v>
      </c>
      <c r="F32" s="454" t="s">
        <v>512</v>
      </c>
      <c r="G32" s="454" t="s">
        <v>1162</v>
      </c>
      <c r="H32" s="455" t="s">
        <v>1261</v>
      </c>
      <c r="I32" s="450">
        <v>127490</v>
      </c>
      <c r="J32" s="450">
        <v>6374.5</v>
      </c>
      <c r="K32" s="450">
        <v>6374.5</v>
      </c>
      <c r="L32" s="450">
        <v>0</v>
      </c>
      <c r="M32" s="450">
        <v>0</v>
      </c>
      <c r="N32" s="450">
        <v>0</v>
      </c>
      <c r="O32" s="450">
        <f t="shared" si="6"/>
        <v>114741</v>
      </c>
    </row>
    <row r="33" spans="1:15" s="228" customFormat="1" ht="24" customHeight="1" x14ac:dyDescent="0.2">
      <c r="A33" s="451">
        <v>34</v>
      </c>
      <c r="B33" s="452" t="s">
        <v>1097</v>
      </c>
      <c r="C33" s="453" t="s">
        <v>1266</v>
      </c>
      <c r="D33" s="453" t="s">
        <v>1267</v>
      </c>
      <c r="E33" s="454" t="s">
        <v>1268</v>
      </c>
      <c r="F33" s="454" t="s">
        <v>512</v>
      </c>
      <c r="G33" s="454" t="s">
        <v>1269</v>
      </c>
      <c r="H33" s="455" t="s">
        <v>1270</v>
      </c>
      <c r="I33" s="450">
        <v>202000</v>
      </c>
      <c r="J33" s="450">
        <v>0</v>
      </c>
      <c r="K33" s="450">
        <v>0</v>
      </c>
      <c r="L33" s="450">
        <v>0</v>
      </c>
      <c r="M33" s="450">
        <v>0</v>
      </c>
      <c r="N33" s="456" t="s">
        <v>1255</v>
      </c>
      <c r="O33" s="450">
        <f t="shared" si="6"/>
        <v>202000</v>
      </c>
    </row>
    <row r="34" spans="1:15" s="228" customFormat="1" ht="24" customHeight="1" x14ac:dyDescent="0.2">
      <c r="A34" s="451">
        <v>39</v>
      </c>
      <c r="B34" s="452">
        <v>242796</v>
      </c>
      <c r="C34" s="457" t="s">
        <v>932</v>
      </c>
      <c r="D34" s="453" t="s">
        <v>933</v>
      </c>
      <c r="E34" s="454" t="s">
        <v>1139</v>
      </c>
      <c r="F34" s="454" t="s">
        <v>512</v>
      </c>
      <c r="G34" s="454" t="s">
        <v>1134</v>
      </c>
      <c r="H34" s="458" t="s">
        <v>1281</v>
      </c>
      <c r="I34" s="450">
        <v>79200</v>
      </c>
      <c r="J34" s="450">
        <v>0</v>
      </c>
      <c r="K34" s="450">
        <v>0</v>
      </c>
      <c r="L34" s="450">
        <v>0</v>
      </c>
      <c r="M34" s="450">
        <v>0</v>
      </c>
      <c r="N34" s="450">
        <v>0</v>
      </c>
      <c r="O34" s="450">
        <f t="shared" si="6"/>
        <v>79200</v>
      </c>
    </row>
    <row r="35" spans="1:15" s="228" customFormat="1" ht="24" customHeight="1" x14ac:dyDescent="0.2">
      <c r="A35" s="451">
        <v>41</v>
      </c>
      <c r="B35" s="452">
        <v>242796</v>
      </c>
      <c r="C35" s="457" t="s">
        <v>932</v>
      </c>
      <c r="D35" s="453" t="s">
        <v>933</v>
      </c>
      <c r="E35" s="454" t="s">
        <v>1139</v>
      </c>
      <c r="F35" s="454" t="s">
        <v>512</v>
      </c>
      <c r="G35" s="454" t="s">
        <v>1134</v>
      </c>
      <c r="H35" s="458" t="s">
        <v>1283</v>
      </c>
      <c r="I35" s="450">
        <v>18000</v>
      </c>
      <c r="J35" s="450">
        <v>0</v>
      </c>
      <c r="K35" s="450">
        <v>0</v>
      </c>
      <c r="L35" s="450">
        <v>0</v>
      </c>
      <c r="M35" s="450">
        <v>0</v>
      </c>
      <c r="N35" s="450">
        <v>0</v>
      </c>
      <c r="O35" s="450">
        <f t="shared" si="6"/>
        <v>18000</v>
      </c>
    </row>
    <row r="36" spans="1:15" s="228" customFormat="1" ht="24" customHeight="1" x14ac:dyDescent="0.2">
      <c r="A36" s="464" t="s">
        <v>22</v>
      </c>
      <c r="B36" s="465"/>
      <c r="C36" s="466"/>
      <c r="D36" s="467"/>
      <c r="E36" s="464"/>
      <c r="F36" s="464"/>
      <c r="G36" s="464"/>
      <c r="H36" s="470"/>
      <c r="I36" s="469">
        <f>SUM(I37:I54)</f>
        <v>4515693.68</v>
      </c>
      <c r="J36" s="469">
        <f t="shared" ref="J36:O36" si="7">SUM(J37:J54)</f>
        <v>53550.29</v>
      </c>
      <c r="K36" s="469">
        <f t="shared" si="7"/>
        <v>53550.29</v>
      </c>
      <c r="L36" s="469">
        <f t="shared" si="7"/>
        <v>153300</v>
      </c>
      <c r="M36" s="469">
        <f t="shared" si="7"/>
        <v>153300</v>
      </c>
      <c r="N36" s="469">
        <f t="shared" si="7"/>
        <v>0</v>
      </c>
      <c r="O36" s="469">
        <f t="shared" si="7"/>
        <v>4101993.1</v>
      </c>
    </row>
    <row r="37" spans="1:15" s="228" customFormat="1" ht="24" customHeight="1" x14ac:dyDescent="0.2">
      <c r="A37" s="451">
        <v>36</v>
      </c>
      <c r="B37" s="452" t="s">
        <v>1069</v>
      </c>
      <c r="C37" s="453" t="s">
        <v>1070</v>
      </c>
      <c r="D37" s="453" t="s">
        <v>1071</v>
      </c>
      <c r="E37" s="454" t="s">
        <v>1072</v>
      </c>
      <c r="F37" s="454" t="s">
        <v>22</v>
      </c>
      <c r="G37" s="454" t="s">
        <v>1073</v>
      </c>
      <c r="H37" s="455" t="s">
        <v>1074</v>
      </c>
      <c r="I37" s="450">
        <v>20000</v>
      </c>
      <c r="J37" s="450">
        <v>0</v>
      </c>
      <c r="K37" s="450">
        <v>0</v>
      </c>
      <c r="L37" s="450">
        <v>0</v>
      </c>
      <c r="M37" s="450">
        <v>0</v>
      </c>
      <c r="N37" s="460" t="s">
        <v>311</v>
      </c>
      <c r="O37" s="450">
        <f t="shared" ref="O37:O54" si="8">+I37-(SUM(J37:N37))</f>
        <v>20000</v>
      </c>
    </row>
    <row r="38" spans="1:15" s="228" customFormat="1" ht="24" customHeight="1" x14ac:dyDescent="0.2">
      <c r="A38" s="451">
        <v>1</v>
      </c>
      <c r="B38" s="452" t="s">
        <v>1123</v>
      </c>
      <c r="C38" s="453" t="s">
        <v>1124</v>
      </c>
      <c r="D38" s="453" t="s">
        <v>1125</v>
      </c>
      <c r="E38" s="454" t="s">
        <v>1126</v>
      </c>
      <c r="F38" s="454" t="s">
        <v>22</v>
      </c>
      <c r="G38" s="454" t="s">
        <v>1127</v>
      </c>
      <c r="H38" s="455" t="s">
        <v>1128</v>
      </c>
      <c r="I38" s="450">
        <v>200000</v>
      </c>
      <c r="J38" s="450">
        <v>0</v>
      </c>
      <c r="K38" s="450">
        <v>0</v>
      </c>
      <c r="L38" s="450">
        <v>15000</v>
      </c>
      <c r="M38" s="450">
        <v>15000</v>
      </c>
      <c r="N38" s="450">
        <v>0</v>
      </c>
      <c r="O38" s="450">
        <f t="shared" si="8"/>
        <v>170000</v>
      </c>
    </row>
    <row r="39" spans="1:15" s="228" customFormat="1" ht="24" customHeight="1" x14ac:dyDescent="0.2">
      <c r="A39" s="451">
        <v>4</v>
      </c>
      <c r="B39" s="452" t="s">
        <v>1141</v>
      </c>
      <c r="C39" s="453" t="s">
        <v>1142</v>
      </c>
      <c r="D39" s="453" t="s">
        <v>1143</v>
      </c>
      <c r="E39" s="454" t="s">
        <v>492</v>
      </c>
      <c r="F39" s="454" t="s">
        <v>22</v>
      </c>
      <c r="G39" s="454" t="s">
        <v>1144</v>
      </c>
      <c r="H39" s="455" t="s">
        <v>1145</v>
      </c>
      <c r="I39" s="450">
        <v>139650</v>
      </c>
      <c r="J39" s="450">
        <v>6982.5</v>
      </c>
      <c r="K39" s="450">
        <v>6982.5</v>
      </c>
      <c r="L39" s="450">
        <v>0</v>
      </c>
      <c r="M39" s="450">
        <v>0</v>
      </c>
      <c r="N39" s="450">
        <v>0</v>
      </c>
      <c r="O39" s="450">
        <f t="shared" si="8"/>
        <v>125685</v>
      </c>
    </row>
    <row r="40" spans="1:15" s="228" customFormat="1" ht="24" customHeight="1" x14ac:dyDescent="0.2">
      <c r="A40" s="451">
        <v>5</v>
      </c>
      <c r="B40" s="452" t="s">
        <v>960</v>
      </c>
      <c r="C40" s="453" t="s">
        <v>1146</v>
      </c>
      <c r="D40" s="453" t="s">
        <v>1147</v>
      </c>
      <c r="E40" s="454" t="s">
        <v>451</v>
      </c>
      <c r="F40" s="454" t="s">
        <v>22</v>
      </c>
      <c r="G40" s="454" t="s">
        <v>452</v>
      </c>
      <c r="H40" s="455" t="s">
        <v>1148</v>
      </c>
      <c r="I40" s="450">
        <v>198905.68</v>
      </c>
      <c r="J40" s="450">
        <v>9945.2900000000009</v>
      </c>
      <c r="K40" s="450">
        <v>9945.2900000000009</v>
      </c>
      <c r="L40" s="450">
        <v>0</v>
      </c>
      <c r="M40" s="450">
        <v>0</v>
      </c>
      <c r="N40" s="450">
        <v>0</v>
      </c>
      <c r="O40" s="450">
        <f t="shared" si="8"/>
        <v>179015.09999999998</v>
      </c>
    </row>
    <row r="41" spans="1:15" s="228" customFormat="1" ht="24" customHeight="1" x14ac:dyDescent="0.2">
      <c r="A41" s="451">
        <v>6</v>
      </c>
      <c r="B41" s="452" t="s">
        <v>976</v>
      </c>
      <c r="C41" s="453" t="s">
        <v>1149</v>
      </c>
      <c r="D41" s="453" t="s">
        <v>1150</v>
      </c>
      <c r="E41" s="454" t="s">
        <v>1151</v>
      </c>
      <c r="F41" s="454" t="s">
        <v>22</v>
      </c>
      <c r="G41" s="454" t="s">
        <v>1152</v>
      </c>
      <c r="H41" s="455" t="s">
        <v>1153</v>
      </c>
      <c r="I41" s="450">
        <v>172000</v>
      </c>
      <c r="J41" s="450">
        <v>0</v>
      </c>
      <c r="K41" s="450">
        <v>0</v>
      </c>
      <c r="L41" s="450">
        <v>15000</v>
      </c>
      <c r="M41" s="450">
        <v>15000</v>
      </c>
      <c r="N41" s="450">
        <v>0</v>
      </c>
      <c r="O41" s="450">
        <f t="shared" si="8"/>
        <v>142000</v>
      </c>
    </row>
    <row r="42" spans="1:15" s="228" customFormat="1" ht="24" customHeight="1" x14ac:dyDescent="0.2">
      <c r="A42" s="451">
        <v>7</v>
      </c>
      <c r="B42" s="452" t="s">
        <v>1154</v>
      </c>
      <c r="C42" s="453" t="s">
        <v>1155</v>
      </c>
      <c r="D42" s="453" t="s">
        <v>1156</v>
      </c>
      <c r="E42" s="454" t="s">
        <v>1157</v>
      </c>
      <c r="F42" s="454" t="s">
        <v>22</v>
      </c>
      <c r="G42" s="454" t="s">
        <v>1103</v>
      </c>
      <c r="H42" s="455" t="s">
        <v>1158</v>
      </c>
      <c r="I42" s="450">
        <v>118900</v>
      </c>
      <c r="J42" s="450">
        <v>0</v>
      </c>
      <c r="K42" s="450">
        <v>0</v>
      </c>
      <c r="L42" s="450">
        <v>59450</v>
      </c>
      <c r="M42" s="450">
        <v>59450</v>
      </c>
      <c r="N42" s="450">
        <v>0</v>
      </c>
      <c r="O42" s="450">
        <f t="shared" si="8"/>
        <v>0</v>
      </c>
    </row>
    <row r="43" spans="1:15" s="228" customFormat="1" ht="24" customHeight="1" x14ac:dyDescent="0.2">
      <c r="A43" s="451">
        <v>8</v>
      </c>
      <c r="B43" s="452" t="s">
        <v>1159</v>
      </c>
      <c r="C43" s="453" t="s">
        <v>1160</v>
      </c>
      <c r="D43" s="453" t="s">
        <v>1161</v>
      </c>
      <c r="E43" s="454" t="s">
        <v>451</v>
      </c>
      <c r="F43" s="454" t="s">
        <v>22</v>
      </c>
      <c r="G43" s="454" t="s">
        <v>1162</v>
      </c>
      <c r="H43" s="455" t="s">
        <v>1163</v>
      </c>
      <c r="I43" s="450">
        <v>156750</v>
      </c>
      <c r="J43" s="450">
        <v>0</v>
      </c>
      <c r="K43" s="450">
        <v>0</v>
      </c>
      <c r="L43" s="450">
        <v>7837.5</v>
      </c>
      <c r="M43" s="450">
        <v>7837.5</v>
      </c>
      <c r="N43" s="450">
        <v>0</v>
      </c>
      <c r="O43" s="450">
        <f t="shared" si="8"/>
        <v>141075</v>
      </c>
    </row>
    <row r="44" spans="1:15" s="228" customFormat="1" ht="24" customHeight="1" x14ac:dyDescent="0.2">
      <c r="A44" s="451">
        <v>11</v>
      </c>
      <c r="B44" s="452" t="s">
        <v>1025</v>
      </c>
      <c r="C44" s="453" t="s">
        <v>1175</v>
      </c>
      <c r="D44" s="453" t="s">
        <v>1176</v>
      </c>
      <c r="E44" s="454" t="s">
        <v>1177</v>
      </c>
      <c r="F44" s="454" t="s">
        <v>22</v>
      </c>
      <c r="G44" s="454" t="s">
        <v>1178</v>
      </c>
      <c r="H44" s="455" t="s">
        <v>1179</v>
      </c>
      <c r="I44" s="450">
        <v>30000</v>
      </c>
      <c r="J44" s="450">
        <v>1500</v>
      </c>
      <c r="K44" s="450">
        <v>1500</v>
      </c>
      <c r="L44" s="450">
        <v>0</v>
      </c>
      <c r="M44" s="450">
        <v>0</v>
      </c>
      <c r="N44" s="450">
        <v>0</v>
      </c>
      <c r="O44" s="450">
        <f t="shared" si="8"/>
        <v>27000</v>
      </c>
    </row>
    <row r="45" spans="1:15" s="228" customFormat="1" ht="24" customHeight="1" x14ac:dyDescent="0.2">
      <c r="A45" s="451">
        <v>12</v>
      </c>
      <c r="B45" s="452" t="s">
        <v>1025</v>
      </c>
      <c r="C45" s="453" t="s">
        <v>1175</v>
      </c>
      <c r="D45" s="453" t="s">
        <v>1176</v>
      </c>
      <c r="E45" s="454" t="s">
        <v>1180</v>
      </c>
      <c r="F45" s="454" t="s">
        <v>22</v>
      </c>
      <c r="G45" s="454" t="s">
        <v>1178</v>
      </c>
      <c r="H45" s="455" t="s">
        <v>1181</v>
      </c>
      <c r="I45" s="450">
        <v>30000</v>
      </c>
      <c r="J45" s="450">
        <v>1500</v>
      </c>
      <c r="K45" s="450">
        <v>1500</v>
      </c>
      <c r="L45" s="450">
        <v>0</v>
      </c>
      <c r="M45" s="450">
        <v>0</v>
      </c>
      <c r="N45" s="450">
        <v>0</v>
      </c>
      <c r="O45" s="450">
        <f t="shared" si="8"/>
        <v>27000</v>
      </c>
    </row>
    <row r="46" spans="1:15" s="228" customFormat="1" ht="24" customHeight="1" x14ac:dyDescent="0.2">
      <c r="A46" s="451">
        <v>14</v>
      </c>
      <c r="B46" s="452" t="s">
        <v>1030</v>
      </c>
      <c r="C46" s="453" t="s">
        <v>1190</v>
      </c>
      <c r="D46" s="453" t="s">
        <v>1191</v>
      </c>
      <c r="E46" s="454" t="s">
        <v>1192</v>
      </c>
      <c r="F46" s="454" t="s">
        <v>22</v>
      </c>
      <c r="G46" s="454" t="s">
        <v>1162</v>
      </c>
      <c r="H46" s="455" t="s">
        <v>1193</v>
      </c>
      <c r="I46" s="450">
        <v>93100</v>
      </c>
      <c r="J46" s="450">
        <v>4655</v>
      </c>
      <c r="K46" s="450">
        <v>4655</v>
      </c>
      <c r="L46" s="450">
        <v>0</v>
      </c>
      <c r="M46" s="450">
        <v>0</v>
      </c>
      <c r="N46" s="450">
        <v>0</v>
      </c>
      <c r="O46" s="450">
        <f t="shared" si="8"/>
        <v>83790</v>
      </c>
    </row>
    <row r="47" spans="1:15" s="228" customFormat="1" ht="24" customHeight="1" x14ac:dyDescent="0.2">
      <c r="A47" s="451">
        <v>24</v>
      </c>
      <c r="B47" s="452" t="s">
        <v>1075</v>
      </c>
      <c r="C47" s="453" t="s">
        <v>1076</v>
      </c>
      <c r="D47" s="453" t="s">
        <v>1077</v>
      </c>
      <c r="E47" s="454" t="s">
        <v>1226</v>
      </c>
      <c r="F47" s="454" t="s">
        <v>22</v>
      </c>
      <c r="G47" s="454" t="s">
        <v>1079</v>
      </c>
      <c r="H47" s="455" t="s">
        <v>1227</v>
      </c>
      <c r="I47" s="450">
        <v>300000</v>
      </c>
      <c r="J47" s="450">
        <v>0</v>
      </c>
      <c r="K47" s="450">
        <v>0</v>
      </c>
      <c r="L47" s="450">
        <v>0</v>
      </c>
      <c r="M47" s="450">
        <v>0</v>
      </c>
      <c r="N47" s="460" t="s">
        <v>311</v>
      </c>
      <c r="O47" s="450">
        <f t="shared" si="8"/>
        <v>300000</v>
      </c>
    </row>
    <row r="48" spans="1:15" s="228" customFormat="1" ht="24" customHeight="1" x14ac:dyDescent="0.2">
      <c r="A48" s="451">
        <v>26</v>
      </c>
      <c r="B48" s="452" t="s">
        <v>1231</v>
      </c>
      <c r="C48" s="453" t="s">
        <v>1232</v>
      </c>
      <c r="D48" s="453" t="s">
        <v>1233</v>
      </c>
      <c r="E48" s="454" t="s">
        <v>1234</v>
      </c>
      <c r="F48" s="454" t="s">
        <v>22</v>
      </c>
      <c r="G48" s="454" t="s">
        <v>1235</v>
      </c>
      <c r="H48" s="455" t="s">
        <v>1236</v>
      </c>
      <c r="I48" s="450">
        <v>2137413</v>
      </c>
      <c r="J48" s="450">
        <v>0</v>
      </c>
      <c r="K48" s="450">
        <v>0</v>
      </c>
      <c r="L48" s="450">
        <f>80500/2</f>
        <v>40250</v>
      </c>
      <c r="M48" s="450">
        <f>80500/2</f>
        <v>40250</v>
      </c>
      <c r="N48" s="450">
        <v>0</v>
      </c>
      <c r="O48" s="450">
        <f t="shared" si="8"/>
        <v>2056913</v>
      </c>
    </row>
    <row r="49" spans="1:15" s="228" customFormat="1" ht="24" customHeight="1" x14ac:dyDescent="0.2">
      <c r="A49" s="451">
        <v>27</v>
      </c>
      <c r="B49" s="452" t="s">
        <v>1237</v>
      </c>
      <c r="C49" s="453" t="s">
        <v>1238</v>
      </c>
      <c r="D49" s="453" t="s">
        <v>1239</v>
      </c>
      <c r="E49" s="454" t="s">
        <v>451</v>
      </c>
      <c r="F49" s="454" t="s">
        <v>22</v>
      </c>
      <c r="G49" s="454" t="s">
        <v>1162</v>
      </c>
      <c r="H49" s="455" t="s">
        <v>1240</v>
      </c>
      <c r="I49" s="450">
        <v>339625</v>
      </c>
      <c r="J49" s="450">
        <v>0</v>
      </c>
      <c r="K49" s="450">
        <v>0</v>
      </c>
      <c r="L49" s="450">
        <v>15762.5</v>
      </c>
      <c r="M49" s="450">
        <v>15762.5</v>
      </c>
      <c r="N49" s="450">
        <v>0</v>
      </c>
      <c r="O49" s="450">
        <f t="shared" si="8"/>
        <v>308100</v>
      </c>
    </row>
    <row r="50" spans="1:15" s="228" customFormat="1" ht="24" customHeight="1" x14ac:dyDescent="0.2">
      <c r="A50" s="451">
        <v>31</v>
      </c>
      <c r="B50" s="452" t="s">
        <v>1096</v>
      </c>
      <c r="C50" s="453" t="s">
        <v>1256</v>
      </c>
      <c r="D50" s="453" t="s">
        <v>1257</v>
      </c>
      <c r="E50" s="454" t="s">
        <v>1192</v>
      </c>
      <c r="F50" s="454" t="s">
        <v>22</v>
      </c>
      <c r="G50" s="454" t="s">
        <v>1162</v>
      </c>
      <c r="H50" s="455" t="s">
        <v>1258</v>
      </c>
      <c r="I50" s="450">
        <f>93100+24500</f>
        <v>117600</v>
      </c>
      <c r="J50" s="450">
        <v>5880</v>
      </c>
      <c r="K50" s="450">
        <v>5880</v>
      </c>
      <c r="L50" s="450">
        <v>0</v>
      </c>
      <c r="M50" s="450">
        <v>0</v>
      </c>
      <c r="N50" s="450">
        <v>0</v>
      </c>
      <c r="O50" s="450">
        <f t="shared" si="8"/>
        <v>105840</v>
      </c>
    </row>
    <row r="51" spans="1:15" s="228" customFormat="1" ht="24" customHeight="1" x14ac:dyDescent="0.2">
      <c r="A51" s="451">
        <v>33</v>
      </c>
      <c r="B51" s="452" t="s">
        <v>1097</v>
      </c>
      <c r="C51" s="453" t="s">
        <v>1262</v>
      </c>
      <c r="D51" s="453" t="s">
        <v>1263</v>
      </c>
      <c r="E51" s="454" t="s">
        <v>1180</v>
      </c>
      <c r="F51" s="454" t="s">
        <v>22</v>
      </c>
      <c r="G51" s="454" t="s">
        <v>1264</v>
      </c>
      <c r="H51" s="455" t="s">
        <v>1265</v>
      </c>
      <c r="I51" s="450">
        <v>20000</v>
      </c>
      <c r="J51" s="450">
        <v>1000</v>
      </c>
      <c r="K51" s="450">
        <v>1000</v>
      </c>
      <c r="L51" s="450">
        <v>0</v>
      </c>
      <c r="M51" s="450">
        <v>0</v>
      </c>
      <c r="N51" s="450">
        <v>0</v>
      </c>
      <c r="O51" s="450">
        <f t="shared" si="8"/>
        <v>18000</v>
      </c>
    </row>
    <row r="52" spans="1:15" s="228" customFormat="1" ht="24" customHeight="1" x14ac:dyDescent="0.2">
      <c r="A52" s="451">
        <v>35</v>
      </c>
      <c r="B52" s="452" t="s">
        <v>1097</v>
      </c>
      <c r="C52" s="453" t="s">
        <v>1271</v>
      </c>
      <c r="D52" s="453" t="s">
        <v>1272</v>
      </c>
      <c r="E52" s="454" t="s">
        <v>1273</v>
      </c>
      <c r="F52" s="454" t="s">
        <v>22</v>
      </c>
      <c r="G52" s="454" t="s">
        <v>1162</v>
      </c>
      <c r="H52" s="455" t="s">
        <v>1274</v>
      </c>
      <c r="I52" s="450">
        <v>321740</v>
      </c>
      <c r="J52" s="450">
        <v>16082.5</v>
      </c>
      <c r="K52" s="450">
        <v>16082.5</v>
      </c>
      <c r="L52" s="450">
        <v>0</v>
      </c>
      <c r="M52" s="450">
        <v>0</v>
      </c>
      <c r="N52" s="450">
        <v>0</v>
      </c>
      <c r="O52" s="450">
        <f t="shared" si="8"/>
        <v>289575</v>
      </c>
    </row>
    <row r="53" spans="1:15" s="228" customFormat="1" ht="24" customHeight="1" x14ac:dyDescent="0.2">
      <c r="A53" s="451">
        <v>36</v>
      </c>
      <c r="B53" s="452" t="s">
        <v>1097</v>
      </c>
      <c r="C53" s="459" t="s">
        <v>1109</v>
      </c>
      <c r="D53" s="453" t="s">
        <v>1275</v>
      </c>
      <c r="E53" s="454" t="s">
        <v>1273</v>
      </c>
      <c r="F53" s="454" t="s">
        <v>22</v>
      </c>
      <c r="G53" s="454" t="s">
        <v>1162</v>
      </c>
      <c r="H53" s="455" t="s">
        <v>1276</v>
      </c>
      <c r="I53" s="450">
        <v>10</v>
      </c>
      <c r="J53" s="450">
        <v>5</v>
      </c>
      <c r="K53" s="450">
        <v>5</v>
      </c>
      <c r="L53" s="450">
        <v>0</v>
      </c>
      <c r="M53" s="450">
        <v>0</v>
      </c>
      <c r="N53" s="450">
        <v>0</v>
      </c>
      <c r="O53" s="450">
        <f t="shared" si="8"/>
        <v>0</v>
      </c>
    </row>
    <row r="54" spans="1:15" s="228" customFormat="1" ht="24" customHeight="1" x14ac:dyDescent="0.2">
      <c r="A54" s="451">
        <v>37</v>
      </c>
      <c r="B54" s="452" t="s">
        <v>1097</v>
      </c>
      <c r="C54" s="459" t="s">
        <v>1109</v>
      </c>
      <c r="D54" s="453" t="s">
        <v>1277</v>
      </c>
      <c r="E54" s="454" t="s">
        <v>451</v>
      </c>
      <c r="F54" s="454" t="s">
        <v>22</v>
      </c>
      <c r="G54" s="454" t="s">
        <v>1278</v>
      </c>
      <c r="H54" s="455" t="s">
        <v>1279</v>
      </c>
      <c r="I54" s="450">
        <v>120000</v>
      </c>
      <c r="J54" s="450">
        <v>6000</v>
      </c>
      <c r="K54" s="450">
        <v>6000</v>
      </c>
      <c r="L54" s="450">
        <v>0</v>
      </c>
      <c r="M54" s="450">
        <v>0</v>
      </c>
      <c r="N54" s="450">
        <v>0</v>
      </c>
      <c r="O54" s="450">
        <f t="shared" si="8"/>
        <v>108000</v>
      </c>
    </row>
    <row r="55" spans="1:15" s="228" customFormat="1" ht="24" customHeight="1" x14ac:dyDescent="0.2">
      <c r="A55" s="464" t="s">
        <v>1229</v>
      </c>
      <c r="B55" s="465"/>
      <c r="C55" s="471"/>
      <c r="D55" s="467"/>
      <c r="E55" s="464"/>
      <c r="F55" s="464"/>
      <c r="G55" s="464"/>
      <c r="H55" s="468"/>
      <c r="I55" s="469">
        <f>SUM(I56)</f>
        <v>291000</v>
      </c>
      <c r="J55" s="469">
        <f t="shared" ref="J55:O55" si="9">SUM(J56)</f>
        <v>0</v>
      </c>
      <c r="K55" s="469">
        <f t="shared" si="9"/>
        <v>0</v>
      </c>
      <c r="L55" s="469">
        <f t="shared" si="9"/>
        <v>0</v>
      </c>
      <c r="M55" s="469">
        <f t="shared" si="9"/>
        <v>0</v>
      </c>
      <c r="N55" s="469">
        <f t="shared" si="9"/>
        <v>0</v>
      </c>
      <c r="O55" s="469">
        <f t="shared" si="9"/>
        <v>291000</v>
      </c>
    </row>
    <row r="56" spans="1:15" s="228" customFormat="1" ht="24" customHeight="1" x14ac:dyDescent="0.2">
      <c r="A56" s="451">
        <v>25</v>
      </c>
      <c r="B56" s="452" t="s">
        <v>1075</v>
      </c>
      <c r="C56" s="453" t="s">
        <v>1076</v>
      </c>
      <c r="D56" s="453" t="s">
        <v>1077</v>
      </c>
      <c r="E56" s="454" t="s">
        <v>1228</v>
      </c>
      <c r="F56" s="454" t="s">
        <v>1229</v>
      </c>
      <c r="G56" s="454" t="s">
        <v>1079</v>
      </c>
      <c r="H56" s="455" t="s">
        <v>1230</v>
      </c>
      <c r="I56" s="450">
        <v>291000</v>
      </c>
      <c r="J56" s="450">
        <v>0</v>
      </c>
      <c r="K56" s="450">
        <v>0</v>
      </c>
      <c r="L56" s="450">
        <v>0</v>
      </c>
      <c r="M56" s="450">
        <v>0</v>
      </c>
      <c r="N56" s="460" t="s">
        <v>311</v>
      </c>
      <c r="O56" s="450">
        <f>+I56-(SUM(J56:N56))</f>
        <v>291000</v>
      </c>
    </row>
    <row r="57" spans="1:15" s="228" customFormat="1" ht="24" customHeight="1" x14ac:dyDescent="0.2">
      <c r="A57" s="464" t="s">
        <v>19</v>
      </c>
      <c r="B57" s="465"/>
      <c r="C57" s="467"/>
      <c r="D57" s="467"/>
      <c r="E57" s="464"/>
      <c r="F57" s="464"/>
      <c r="G57" s="464"/>
      <c r="H57" s="468"/>
      <c r="I57" s="469">
        <f>SUM(I58:I71)</f>
        <v>3662847</v>
      </c>
      <c r="J57" s="469">
        <f t="shared" ref="J57:O57" si="10">SUM(J58:J71)</f>
        <v>179771.6</v>
      </c>
      <c r="K57" s="469">
        <f t="shared" si="10"/>
        <v>179771.6</v>
      </c>
      <c r="L57" s="469">
        <f t="shared" si="10"/>
        <v>33707.5</v>
      </c>
      <c r="M57" s="469">
        <f t="shared" si="10"/>
        <v>33707.5</v>
      </c>
      <c r="N57" s="469">
        <f t="shared" si="10"/>
        <v>0</v>
      </c>
      <c r="O57" s="469">
        <f t="shared" si="10"/>
        <v>3235888.8</v>
      </c>
    </row>
    <row r="58" spans="1:15" s="228" customFormat="1" ht="24" customHeight="1" x14ac:dyDescent="0.2">
      <c r="A58" s="451">
        <v>9</v>
      </c>
      <c r="B58" s="452" t="s">
        <v>960</v>
      </c>
      <c r="C58" s="453" t="s">
        <v>961</v>
      </c>
      <c r="D58" s="453" t="s">
        <v>962</v>
      </c>
      <c r="E58" s="454" t="s">
        <v>963</v>
      </c>
      <c r="F58" s="454" t="s">
        <v>19</v>
      </c>
      <c r="G58" s="454" t="s">
        <v>964</v>
      </c>
      <c r="H58" s="455" t="s">
        <v>965</v>
      </c>
      <c r="I58" s="450">
        <v>570000</v>
      </c>
      <c r="J58" s="450">
        <v>28500</v>
      </c>
      <c r="K58" s="450">
        <v>28500</v>
      </c>
      <c r="L58" s="450">
        <v>0</v>
      </c>
      <c r="M58" s="450">
        <v>0</v>
      </c>
      <c r="N58" s="450">
        <v>0</v>
      </c>
      <c r="O58" s="450">
        <f t="shared" ref="O58:O71" si="11">+I58-(SUM(J58:N58))</f>
        <v>513000</v>
      </c>
    </row>
    <row r="59" spans="1:15" s="228" customFormat="1" ht="24" customHeight="1" x14ac:dyDescent="0.2">
      <c r="A59" s="451">
        <v>17</v>
      </c>
      <c r="B59" s="452" t="s">
        <v>988</v>
      </c>
      <c r="C59" s="453" t="s">
        <v>989</v>
      </c>
      <c r="D59" s="453" t="s">
        <v>990</v>
      </c>
      <c r="E59" s="454" t="s">
        <v>963</v>
      </c>
      <c r="F59" s="454" t="s">
        <v>19</v>
      </c>
      <c r="G59" s="454" t="s">
        <v>964</v>
      </c>
      <c r="H59" s="455" t="s">
        <v>991</v>
      </c>
      <c r="I59" s="450">
        <v>380000</v>
      </c>
      <c r="J59" s="450">
        <v>19000</v>
      </c>
      <c r="K59" s="450">
        <v>19000</v>
      </c>
      <c r="L59" s="450">
        <v>0</v>
      </c>
      <c r="M59" s="450">
        <v>0</v>
      </c>
      <c r="N59" s="450">
        <v>0</v>
      </c>
      <c r="O59" s="450">
        <f t="shared" si="11"/>
        <v>342000</v>
      </c>
    </row>
    <row r="60" spans="1:15" s="228" customFormat="1" ht="24" customHeight="1" x14ac:dyDescent="0.2">
      <c r="A60" s="451">
        <v>18</v>
      </c>
      <c r="B60" s="452" t="s">
        <v>988</v>
      </c>
      <c r="C60" s="453" t="s">
        <v>992</v>
      </c>
      <c r="D60" s="453" t="s">
        <v>990</v>
      </c>
      <c r="E60" s="454" t="s">
        <v>963</v>
      </c>
      <c r="F60" s="454" t="s">
        <v>19</v>
      </c>
      <c r="G60" s="454" t="s">
        <v>964</v>
      </c>
      <c r="H60" s="455" t="s">
        <v>993</v>
      </c>
      <c r="I60" s="450">
        <v>20000</v>
      </c>
      <c r="J60" s="450">
        <v>1000</v>
      </c>
      <c r="K60" s="450">
        <v>1000</v>
      </c>
      <c r="L60" s="450">
        <v>0</v>
      </c>
      <c r="M60" s="450">
        <v>0</v>
      </c>
      <c r="N60" s="450">
        <v>0</v>
      </c>
      <c r="O60" s="450">
        <f t="shared" si="11"/>
        <v>18000</v>
      </c>
    </row>
    <row r="61" spans="1:15" s="228" customFormat="1" ht="24" customHeight="1" x14ac:dyDescent="0.2">
      <c r="A61" s="451">
        <v>21</v>
      </c>
      <c r="B61" s="452" t="s">
        <v>1000</v>
      </c>
      <c r="C61" s="453" t="s">
        <v>1001</v>
      </c>
      <c r="D61" s="453" t="s">
        <v>1002</v>
      </c>
      <c r="E61" s="454" t="s">
        <v>963</v>
      </c>
      <c r="F61" s="454" t="s">
        <v>19</v>
      </c>
      <c r="G61" s="454" t="s">
        <v>964</v>
      </c>
      <c r="H61" s="455" t="s">
        <v>1003</v>
      </c>
      <c r="I61" s="450">
        <v>30000</v>
      </c>
      <c r="J61" s="450">
        <v>1500</v>
      </c>
      <c r="K61" s="450">
        <v>1500</v>
      </c>
      <c r="L61" s="450">
        <v>0</v>
      </c>
      <c r="M61" s="450">
        <v>0</v>
      </c>
      <c r="N61" s="450">
        <v>0</v>
      </c>
      <c r="O61" s="450">
        <f t="shared" si="11"/>
        <v>27000</v>
      </c>
    </row>
    <row r="62" spans="1:15" s="228" customFormat="1" ht="24" customHeight="1" x14ac:dyDescent="0.2">
      <c r="A62" s="451">
        <v>22</v>
      </c>
      <c r="B62" s="452" t="s">
        <v>1004</v>
      </c>
      <c r="C62" s="453" t="s">
        <v>1005</v>
      </c>
      <c r="D62" s="453" t="s">
        <v>1006</v>
      </c>
      <c r="E62" s="454" t="s">
        <v>963</v>
      </c>
      <c r="F62" s="454" t="s">
        <v>19</v>
      </c>
      <c r="G62" s="454" t="s">
        <v>964</v>
      </c>
      <c r="H62" s="455" t="s">
        <v>1007</v>
      </c>
      <c r="I62" s="450">
        <v>30000</v>
      </c>
      <c r="J62" s="450">
        <v>1500</v>
      </c>
      <c r="K62" s="450">
        <v>1500</v>
      </c>
      <c r="L62" s="450">
        <v>0</v>
      </c>
      <c r="M62" s="450">
        <v>0</v>
      </c>
      <c r="N62" s="450">
        <v>0</v>
      </c>
      <c r="O62" s="450">
        <f t="shared" si="11"/>
        <v>27000</v>
      </c>
    </row>
    <row r="63" spans="1:15" s="228" customFormat="1" ht="24" customHeight="1" x14ac:dyDescent="0.2">
      <c r="A63" s="451">
        <v>23</v>
      </c>
      <c r="B63" s="452" t="s">
        <v>1004</v>
      </c>
      <c r="C63" s="453" t="s">
        <v>1008</v>
      </c>
      <c r="D63" s="453" t="s">
        <v>1006</v>
      </c>
      <c r="E63" s="454" t="s">
        <v>963</v>
      </c>
      <c r="F63" s="454" t="s">
        <v>19</v>
      </c>
      <c r="G63" s="454" t="s">
        <v>964</v>
      </c>
      <c r="H63" s="455" t="s">
        <v>1009</v>
      </c>
      <c r="I63" s="450">
        <v>20000</v>
      </c>
      <c r="J63" s="450">
        <v>1000</v>
      </c>
      <c r="K63" s="450">
        <v>1000</v>
      </c>
      <c r="L63" s="450">
        <v>0</v>
      </c>
      <c r="M63" s="450">
        <v>0</v>
      </c>
      <c r="N63" s="450">
        <v>0</v>
      </c>
      <c r="O63" s="450">
        <f t="shared" si="11"/>
        <v>18000</v>
      </c>
    </row>
    <row r="64" spans="1:15" s="228" customFormat="1" ht="24" customHeight="1" x14ac:dyDescent="0.2">
      <c r="A64" s="451">
        <v>24</v>
      </c>
      <c r="B64" s="452" t="s">
        <v>1010</v>
      </c>
      <c r="C64" s="453" t="s">
        <v>1011</v>
      </c>
      <c r="D64" s="453" t="s">
        <v>1012</v>
      </c>
      <c r="E64" s="454" t="s">
        <v>199</v>
      </c>
      <c r="F64" s="454" t="s">
        <v>19</v>
      </c>
      <c r="G64" s="454" t="s">
        <v>1013</v>
      </c>
      <c r="H64" s="455" t="s">
        <v>1014</v>
      </c>
      <c r="I64" s="450">
        <v>70000</v>
      </c>
      <c r="J64" s="450">
        <v>3500</v>
      </c>
      <c r="K64" s="450">
        <v>3500</v>
      </c>
      <c r="L64" s="450">
        <v>0</v>
      </c>
      <c r="M64" s="450">
        <v>0</v>
      </c>
      <c r="N64" s="450">
        <v>0</v>
      </c>
      <c r="O64" s="450">
        <f t="shared" si="11"/>
        <v>63000</v>
      </c>
    </row>
    <row r="65" spans="1:16" s="228" customFormat="1" ht="24" customHeight="1" x14ac:dyDescent="0.2">
      <c r="A65" s="451">
        <v>27</v>
      </c>
      <c r="B65" s="452" t="s">
        <v>1025</v>
      </c>
      <c r="C65" s="453" t="s">
        <v>1026</v>
      </c>
      <c r="D65" s="453" t="s">
        <v>1027</v>
      </c>
      <c r="E65" s="454" t="s">
        <v>963</v>
      </c>
      <c r="F65" s="454" t="s">
        <v>19</v>
      </c>
      <c r="G65" s="454" t="s">
        <v>1028</v>
      </c>
      <c r="H65" s="455" t="s">
        <v>1029</v>
      </c>
      <c r="I65" s="450">
        <v>1000000</v>
      </c>
      <c r="J65" s="450">
        <v>50000</v>
      </c>
      <c r="K65" s="450">
        <v>50000</v>
      </c>
      <c r="L65" s="450">
        <v>0</v>
      </c>
      <c r="M65" s="450">
        <v>0</v>
      </c>
      <c r="N65" s="450">
        <v>0</v>
      </c>
      <c r="O65" s="450">
        <f t="shared" si="11"/>
        <v>900000</v>
      </c>
    </row>
    <row r="66" spans="1:16" s="228" customFormat="1" ht="24" customHeight="1" x14ac:dyDescent="0.2">
      <c r="A66" s="451">
        <v>30</v>
      </c>
      <c r="B66" s="452" t="s">
        <v>1041</v>
      </c>
      <c r="C66" s="453" t="s">
        <v>1042</v>
      </c>
      <c r="D66" s="453" t="s">
        <v>1043</v>
      </c>
      <c r="E66" s="454" t="s">
        <v>1044</v>
      </c>
      <c r="F66" s="454" t="s">
        <v>19</v>
      </c>
      <c r="G66" s="454" t="s">
        <v>1045</v>
      </c>
      <c r="H66" s="455" t="s">
        <v>1046</v>
      </c>
      <c r="I66" s="450">
        <v>60432</v>
      </c>
      <c r="J66" s="450">
        <v>3021.6000000000004</v>
      </c>
      <c r="K66" s="450">
        <v>3021.6000000000004</v>
      </c>
      <c r="L66" s="450">
        <v>0</v>
      </c>
      <c r="M66" s="450">
        <v>0</v>
      </c>
      <c r="N66" s="450">
        <v>0</v>
      </c>
      <c r="O66" s="450">
        <f t="shared" si="11"/>
        <v>54388.800000000003</v>
      </c>
    </row>
    <row r="67" spans="1:16" s="228" customFormat="1" ht="24" customHeight="1" x14ac:dyDescent="0.2">
      <c r="A67" s="451">
        <v>34</v>
      </c>
      <c r="B67" s="452" t="s">
        <v>1060</v>
      </c>
      <c r="C67" s="453" t="s">
        <v>1061</v>
      </c>
      <c r="D67" s="453" t="s">
        <v>1062</v>
      </c>
      <c r="E67" s="454" t="s">
        <v>199</v>
      </c>
      <c r="F67" s="454" t="s">
        <v>19</v>
      </c>
      <c r="G67" s="454" t="s">
        <v>1063</v>
      </c>
      <c r="H67" s="455" t="s">
        <v>1064</v>
      </c>
      <c r="I67" s="450">
        <v>275000</v>
      </c>
      <c r="J67" s="450">
        <v>13750</v>
      </c>
      <c r="K67" s="450">
        <v>13750</v>
      </c>
      <c r="L67" s="450">
        <v>0</v>
      </c>
      <c r="M67" s="450">
        <v>0</v>
      </c>
      <c r="N67" s="450">
        <v>0</v>
      </c>
      <c r="O67" s="450">
        <f t="shared" si="11"/>
        <v>247500</v>
      </c>
    </row>
    <row r="68" spans="1:16" s="228" customFormat="1" ht="24" customHeight="1" x14ac:dyDescent="0.2">
      <c r="A68" s="451">
        <v>38</v>
      </c>
      <c r="B68" s="452" t="s">
        <v>1081</v>
      </c>
      <c r="C68" s="453" t="s">
        <v>1082</v>
      </c>
      <c r="D68" s="453" t="s">
        <v>1083</v>
      </c>
      <c r="E68" s="454" t="s">
        <v>963</v>
      </c>
      <c r="F68" s="454" t="s">
        <v>19</v>
      </c>
      <c r="G68" s="454" t="s">
        <v>369</v>
      </c>
      <c r="H68" s="455" t="s">
        <v>1084</v>
      </c>
      <c r="I68" s="450">
        <v>427500</v>
      </c>
      <c r="J68" s="450">
        <v>21375</v>
      </c>
      <c r="K68" s="450">
        <v>21375</v>
      </c>
      <c r="L68" s="450">
        <v>0</v>
      </c>
      <c r="M68" s="450">
        <v>0</v>
      </c>
      <c r="N68" s="450">
        <v>0</v>
      </c>
      <c r="O68" s="450">
        <f t="shared" si="11"/>
        <v>384750</v>
      </c>
    </row>
    <row r="69" spans="1:16" s="228" customFormat="1" ht="24" customHeight="1" x14ac:dyDescent="0.2">
      <c r="A69" s="451">
        <v>43</v>
      </c>
      <c r="B69" s="452" t="s">
        <v>1097</v>
      </c>
      <c r="C69" s="453" t="s">
        <v>1098</v>
      </c>
      <c r="D69" s="453" t="s">
        <v>1099</v>
      </c>
      <c r="E69" s="454" t="s">
        <v>963</v>
      </c>
      <c r="F69" s="454" t="s">
        <v>19</v>
      </c>
      <c r="G69" s="454" t="s">
        <v>964</v>
      </c>
      <c r="H69" s="455" t="s">
        <v>1100</v>
      </c>
      <c r="I69" s="450">
        <v>427500</v>
      </c>
      <c r="J69" s="450">
        <v>21375</v>
      </c>
      <c r="K69" s="450">
        <v>21375</v>
      </c>
      <c r="L69" s="450">
        <v>0</v>
      </c>
      <c r="M69" s="450">
        <v>0</v>
      </c>
      <c r="N69" s="450">
        <v>0</v>
      </c>
      <c r="O69" s="450">
        <f t="shared" si="11"/>
        <v>384750</v>
      </c>
    </row>
    <row r="70" spans="1:16" s="228" customFormat="1" ht="24" customHeight="1" x14ac:dyDescent="0.2">
      <c r="A70" s="451">
        <v>45</v>
      </c>
      <c r="B70" s="452" t="s">
        <v>1097</v>
      </c>
      <c r="C70" s="453" t="s">
        <v>1105</v>
      </c>
      <c r="D70" s="453" t="s">
        <v>1106</v>
      </c>
      <c r="E70" s="454" t="s">
        <v>1107</v>
      </c>
      <c r="F70" s="454" t="s">
        <v>19</v>
      </c>
      <c r="G70" s="454" t="s">
        <v>1103</v>
      </c>
      <c r="H70" s="455" t="s">
        <v>1108</v>
      </c>
      <c r="I70" s="450">
        <v>67415</v>
      </c>
      <c r="J70" s="450">
        <v>0</v>
      </c>
      <c r="K70" s="450">
        <v>0</v>
      </c>
      <c r="L70" s="450">
        <v>33707.5</v>
      </c>
      <c r="M70" s="450">
        <v>33707.5</v>
      </c>
      <c r="N70" s="450">
        <v>0</v>
      </c>
      <c r="O70" s="450">
        <f t="shared" si="11"/>
        <v>0</v>
      </c>
    </row>
    <row r="71" spans="1:16" ht="24" customHeight="1" x14ac:dyDescent="0.45">
      <c r="A71" s="451">
        <v>23</v>
      </c>
      <c r="B71" s="452" t="s">
        <v>1222</v>
      </c>
      <c r="C71" s="453" t="s">
        <v>1223</v>
      </c>
      <c r="D71" s="453" t="s">
        <v>1224</v>
      </c>
      <c r="E71" s="454" t="s">
        <v>963</v>
      </c>
      <c r="F71" s="454" t="s">
        <v>19</v>
      </c>
      <c r="G71" s="454" t="s">
        <v>964</v>
      </c>
      <c r="H71" s="455" t="s">
        <v>1225</v>
      </c>
      <c r="I71" s="450">
        <v>285000</v>
      </c>
      <c r="J71" s="450">
        <v>14250</v>
      </c>
      <c r="K71" s="450">
        <v>14250</v>
      </c>
      <c r="L71" s="450">
        <v>0</v>
      </c>
      <c r="M71" s="450">
        <v>0</v>
      </c>
      <c r="N71" s="450">
        <v>0</v>
      </c>
      <c r="O71" s="450">
        <f t="shared" si="11"/>
        <v>256500</v>
      </c>
      <c r="P71" s="228"/>
    </row>
    <row r="72" spans="1:16" ht="24" customHeight="1" x14ac:dyDescent="0.45">
      <c r="A72" s="464" t="s">
        <v>1067</v>
      </c>
      <c r="B72" s="465"/>
      <c r="C72" s="467"/>
      <c r="D72" s="467"/>
      <c r="E72" s="464"/>
      <c r="F72" s="464"/>
      <c r="G72" s="464"/>
      <c r="H72" s="468"/>
      <c r="I72" s="469">
        <f>SUM(I73:I99)</f>
        <v>5723880</v>
      </c>
      <c r="J72" s="469">
        <f t="shared" ref="J72:O72" si="12">SUM(J73:J99)</f>
        <v>270989</v>
      </c>
      <c r="K72" s="469">
        <f t="shared" si="12"/>
        <v>270989</v>
      </c>
      <c r="L72" s="469">
        <f t="shared" si="12"/>
        <v>0</v>
      </c>
      <c r="M72" s="469">
        <f t="shared" si="12"/>
        <v>0</v>
      </c>
      <c r="N72" s="469">
        <f t="shared" si="12"/>
        <v>0</v>
      </c>
      <c r="O72" s="469">
        <f t="shared" si="12"/>
        <v>5181902</v>
      </c>
      <c r="P72" s="228"/>
    </row>
    <row r="73" spans="1:16" s="228" customFormat="1" ht="24" customHeight="1" x14ac:dyDescent="0.2">
      <c r="A73" s="451">
        <v>35</v>
      </c>
      <c r="B73" s="452" t="s">
        <v>1060</v>
      </c>
      <c r="C73" s="453" t="s">
        <v>1065</v>
      </c>
      <c r="D73" s="453" t="s">
        <v>1066</v>
      </c>
      <c r="E73" s="454" t="s">
        <v>302</v>
      </c>
      <c r="F73" s="454" t="s">
        <v>1067</v>
      </c>
      <c r="G73" s="454" t="s">
        <v>908</v>
      </c>
      <c r="H73" s="455" t="s">
        <v>1068</v>
      </c>
      <c r="I73" s="450">
        <v>35210</v>
      </c>
      <c r="J73" s="450">
        <v>17605</v>
      </c>
      <c r="K73" s="450">
        <v>17605</v>
      </c>
      <c r="L73" s="450">
        <v>0</v>
      </c>
      <c r="M73" s="450">
        <v>0</v>
      </c>
      <c r="N73" s="450">
        <v>0</v>
      </c>
      <c r="O73" s="450">
        <f t="shared" ref="O73:O99" si="13">+I73-(SUM(J73:N73))</f>
        <v>0</v>
      </c>
    </row>
    <row r="74" spans="1:16" s="228" customFormat="1" ht="24" customHeight="1" x14ac:dyDescent="0.2">
      <c r="A74" s="451">
        <v>37</v>
      </c>
      <c r="B74" s="452" t="s">
        <v>1075</v>
      </c>
      <c r="C74" s="453" t="s">
        <v>1076</v>
      </c>
      <c r="D74" s="453" t="s">
        <v>1077</v>
      </c>
      <c r="E74" s="454" t="s">
        <v>1078</v>
      </c>
      <c r="F74" s="454" t="s">
        <v>1067</v>
      </c>
      <c r="G74" s="454" t="s">
        <v>1079</v>
      </c>
      <c r="H74" s="455" t="s">
        <v>1080</v>
      </c>
      <c r="I74" s="450">
        <v>300000</v>
      </c>
      <c r="J74" s="450">
        <v>0</v>
      </c>
      <c r="K74" s="450">
        <v>0</v>
      </c>
      <c r="L74" s="450">
        <v>0</v>
      </c>
      <c r="M74" s="450">
        <v>0</v>
      </c>
      <c r="N74" s="460" t="s">
        <v>311</v>
      </c>
      <c r="O74" s="450">
        <f t="shared" si="13"/>
        <v>300000</v>
      </c>
    </row>
    <row r="75" spans="1:16" s="228" customFormat="1" ht="24" customHeight="1" x14ac:dyDescent="0.2">
      <c r="A75" s="451">
        <v>1</v>
      </c>
      <c r="B75" s="452" t="s">
        <v>935</v>
      </c>
      <c r="C75" s="453" t="s">
        <v>936</v>
      </c>
      <c r="D75" s="453" t="s">
        <v>937</v>
      </c>
      <c r="E75" s="454" t="s">
        <v>115</v>
      </c>
      <c r="F75" s="454" t="s">
        <v>117</v>
      </c>
      <c r="G75" s="454" t="s">
        <v>444</v>
      </c>
      <c r="H75" s="455" t="s">
        <v>901</v>
      </c>
      <c r="I75" s="450">
        <f>39000+90000</f>
        <v>129000</v>
      </c>
      <c r="J75" s="450">
        <f>1950+4500</f>
        <v>6450</v>
      </c>
      <c r="K75" s="450">
        <f>1950+4500</f>
        <v>6450</v>
      </c>
      <c r="L75" s="450">
        <v>0</v>
      </c>
      <c r="M75" s="450">
        <v>0</v>
      </c>
      <c r="N75" s="450">
        <v>0</v>
      </c>
      <c r="O75" s="450">
        <f t="shared" si="13"/>
        <v>116100</v>
      </c>
    </row>
    <row r="76" spans="1:16" s="228" customFormat="1" ht="24" customHeight="1" x14ac:dyDescent="0.2">
      <c r="A76" s="451">
        <v>2</v>
      </c>
      <c r="B76" s="452" t="s">
        <v>938</v>
      </c>
      <c r="C76" s="453" t="s">
        <v>939</v>
      </c>
      <c r="D76" s="453" t="s">
        <v>940</v>
      </c>
      <c r="E76" s="454" t="s">
        <v>115</v>
      </c>
      <c r="F76" s="454" t="s">
        <v>117</v>
      </c>
      <c r="G76" s="454" t="s">
        <v>941</v>
      </c>
      <c r="H76" s="455" t="s">
        <v>901</v>
      </c>
      <c r="I76" s="450">
        <f>65000+134000</f>
        <v>199000</v>
      </c>
      <c r="J76" s="450">
        <f>6700+3250</f>
        <v>9950</v>
      </c>
      <c r="K76" s="450">
        <f>6700+3250</f>
        <v>9950</v>
      </c>
      <c r="L76" s="450">
        <v>0</v>
      </c>
      <c r="M76" s="450">
        <v>0</v>
      </c>
      <c r="N76" s="450">
        <v>0</v>
      </c>
      <c r="O76" s="450">
        <f t="shared" si="13"/>
        <v>179100</v>
      </c>
    </row>
    <row r="77" spans="1:16" s="228" customFormat="1" ht="24" customHeight="1" x14ac:dyDescent="0.2">
      <c r="A77" s="451">
        <v>3</v>
      </c>
      <c r="B77" s="452">
        <v>242465</v>
      </c>
      <c r="C77" s="453" t="s">
        <v>942</v>
      </c>
      <c r="D77" s="453" t="s">
        <v>943</v>
      </c>
      <c r="E77" s="454" t="s">
        <v>115</v>
      </c>
      <c r="F77" s="454" t="s">
        <v>117</v>
      </c>
      <c r="G77" s="454" t="s">
        <v>326</v>
      </c>
      <c r="H77" s="455" t="s">
        <v>901</v>
      </c>
      <c r="I77" s="450">
        <f>48000+12000</f>
        <v>60000</v>
      </c>
      <c r="J77" s="450">
        <f>600+2400</f>
        <v>3000</v>
      </c>
      <c r="K77" s="450">
        <f>600+2400</f>
        <v>3000</v>
      </c>
      <c r="L77" s="450">
        <v>0</v>
      </c>
      <c r="M77" s="450">
        <v>0</v>
      </c>
      <c r="N77" s="450">
        <v>0</v>
      </c>
      <c r="O77" s="450">
        <f t="shared" si="13"/>
        <v>54000</v>
      </c>
    </row>
    <row r="78" spans="1:16" s="228" customFormat="1" ht="24" customHeight="1" x14ac:dyDescent="0.2">
      <c r="A78" s="451">
        <v>4</v>
      </c>
      <c r="B78" s="452">
        <v>242465</v>
      </c>
      <c r="C78" s="453" t="s">
        <v>944</v>
      </c>
      <c r="D78" s="453" t="s">
        <v>945</v>
      </c>
      <c r="E78" s="454" t="s">
        <v>115</v>
      </c>
      <c r="F78" s="454" t="s">
        <v>117</v>
      </c>
      <c r="G78" s="454" t="s">
        <v>318</v>
      </c>
      <c r="H78" s="455" t="s">
        <v>946</v>
      </c>
      <c r="I78" s="450">
        <v>1250</v>
      </c>
      <c r="J78" s="450">
        <v>0</v>
      </c>
      <c r="K78" s="450">
        <v>0</v>
      </c>
      <c r="L78" s="450">
        <v>0</v>
      </c>
      <c r="M78" s="450">
        <v>0</v>
      </c>
      <c r="N78" s="460" t="s">
        <v>311</v>
      </c>
      <c r="O78" s="450">
        <f t="shared" si="13"/>
        <v>1250</v>
      </c>
    </row>
    <row r="79" spans="1:16" s="228" customFormat="1" ht="24" customHeight="1" x14ac:dyDescent="0.2">
      <c r="A79" s="451">
        <v>5</v>
      </c>
      <c r="B79" s="452">
        <v>242474</v>
      </c>
      <c r="C79" s="453" t="s">
        <v>947</v>
      </c>
      <c r="D79" s="453" t="s">
        <v>948</v>
      </c>
      <c r="E79" s="454" t="s">
        <v>115</v>
      </c>
      <c r="F79" s="454" t="s">
        <v>117</v>
      </c>
      <c r="G79" s="454" t="s">
        <v>278</v>
      </c>
      <c r="H79" s="455" t="s">
        <v>901</v>
      </c>
      <c r="I79" s="450">
        <f>25000+233000</f>
        <v>258000</v>
      </c>
      <c r="J79" s="450">
        <f>1250+11650</f>
        <v>12900</v>
      </c>
      <c r="K79" s="450">
        <f>1250+11650</f>
        <v>12900</v>
      </c>
      <c r="L79" s="450">
        <v>0</v>
      </c>
      <c r="M79" s="450">
        <v>0</v>
      </c>
      <c r="N79" s="450">
        <v>0</v>
      </c>
      <c r="O79" s="450">
        <f t="shared" si="13"/>
        <v>232200</v>
      </c>
    </row>
    <row r="80" spans="1:16" s="228" customFormat="1" ht="24" customHeight="1" x14ac:dyDescent="0.2">
      <c r="A80" s="451">
        <v>6</v>
      </c>
      <c r="B80" s="452" t="s">
        <v>949</v>
      </c>
      <c r="C80" s="453" t="s">
        <v>950</v>
      </c>
      <c r="D80" s="453" t="s">
        <v>951</v>
      </c>
      <c r="E80" s="454" t="s">
        <v>115</v>
      </c>
      <c r="F80" s="454" t="s">
        <v>117</v>
      </c>
      <c r="G80" s="454" t="s">
        <v>548</v>
      </c>
      <c r="H80" s="455" t="s">
        <v>901</v>
      </c>
      <c r="I80" s="450">
        <f>25000+556000</f>
        <v>581000</v>
      </c>
      <c r="J80" s="450">
        <f>1250+27800</f>
        <v>29050</v>
      </c>
      <c r="K80" s="450">
        <f>1250+27800</f>
        <v>29050</v>
      </c>
      <c r="L80" s="450">
        <v>0</v>
      </c>
      <c r="M80" s="450">
        <v>0</v>
      </c>
      <c r="N80" s="450">
        <v>0</v>
      </c>
      <c r="O80" s="450">
        <f t="shared" si="13"/>
        <v>522900</v>
      </c>
    </row>
    <row r="81" spans="1:16" s="228" customFormat="1" ht="24" customHeight="1" x14ac:dyDescent="0.2">
      <c r="A81" s="451">
        <v>7</v>
      </c>
      <c r="B81" s="452" t="s">
        <v>949</v>
      </c>
      <c r="C81" s="453" t="s">
        <v>952</v>
      </c>
      <c r="D81" s="453" t="s">
        <v>953</v>
      </c>
      <c r="E81" s="454" t="s">
        <v>115</v>
      </c>
      <c r="F81" s="454" t="s">
        <v>117</v>
      </c>
      <c r="G81" s="454" t="s">
        <v>303</v>
      </c>
      <c r="H81" s="455" t="s">
        <v>946</v>
      </c>
      <c r="I81" s="450">
        <f>850+1000</f>
        <v>1850</v>
      </c>
      <c r="J81" s="450">
        <v>0</v>
      </c>
      <c r="K81" s="450">
        <v>0</v>
      </c>
      <c r="L81" s="450">
        <v>0</v>
      </c>
      <c r="M81" s="450">
        <v>0</v>
      </c>
      <c r="N81" s="460" t="s">
        <v>311</v>
      </c>
      <c r="O81" s="450">
        <f t="shared" si="13"/>
        <v>1850</v>
      </c>
    </row>
    <row r="82" spans="1:16" s="228" customFormat="1" ht="24" customHeight="1" x14ac:dyDescent="0.2">
      <c r="A82" s="451">
        <v>11</v>
      </c>
      <c r="B82" s="452" t="s">
        <v>966</v>
      </c>
      <c r="C82" s="453" t="s">
        <v>972</v>
      </c>
      <c r="D82" s="453" t="s">
        <v>973</v>
      </c>
      <c r="E82" s="454" t="s">
        <v>115</v>
      </c>
      <c r="F82" s="454" t="s">
        <v>117</v>
      </c>
      <c r="G82" s="454" t="s">
        <v>441</v>
      </c>
      <c r="H82" s="455" t="s">
        <v>901</v>
      </c>
      <c r="I82" s="450">
        <v>75000</v>
      </c>
      <c r="J82" s="450">
        <v>3750</v>
      </c>
      <c r="K82" s="450">
        <v>3750</v>
      </c>
      <c r="L82" s="450">
        <v>0</v>
      </c>
      <c r="M82" s="450">
        <v>0</v>
      </c>
      <c r="N82" s="450">
        <v>0</v>
      </c>
      <c r="O82" s="450">
        <f t="shared" si="13"/>
        <v>67500</v>
      </c>
    </row>
    <row r="83" spans="1:16" s="228" customFormat="1" ht="24" customHeight="1" x14ac:dyDescent="0.2">
      <c r="A83" s="451">
        <v>12</v>
      </c>
      <c r="B83" s="452" t="s">
        <v>966</v>
      </c>
      <c r="C83" s="453" t="s">
        <v>974</v>
      </c>
      <c r="D83" s="453" t="s">
        <v>975</v>
      </c>
      <c r="E83" s="454" t="s">
        <v>115</v>
      </c>
      <c r="F83" s="454" t="s">
        <v>117</v>
      </c>
      <c r="G83" s="454" t="s">
        <v>318</v>
      </c>
      <c r="H83" s="455" t="s">
        <v>946</v>
      </c>
      <c r="I83" s="450">
        <v>1000</v>
      </c>
      <c r="J83" s="450">
        <v>0</v>
      </c>
      <c r="K83" s="450">
        <v>0</v>
      </c>
      <c r="L83" s="450">
        <v>0</v>
      </c>
      <c r="M83" s="450">
        <v>0</v>
      </c>
      <c r="N83" s="460" t="s">
        <v>311</v>
      </c>
      <c r="O83" s="450">
        <f t="shared" si="13"/>
        <v>1000</v>
      </c>
    </row>
    <row r="84" spans="1:16" s="228" customFormat="1" ht="24" customHeight="1" x14ac:dyDescent="0.2">
      <c r="A84" s="451">
        <v>13</v>
      </c>
      <c r="B84" s="452" t="s">
        <v>976</v>
      </c>
      <c r="C84" s="453" t="s">
        <v>977</v>
      </c>
      <c r="D84" s="453" t="s">
        <v>978</v>
      </c>
      <c r="E84" s="454" t="s">
        <v>115</v>
      </c>
      <c r="F84" s="454" t="s">
        <v>117</v>
      </c>
      <c r="G84" s="454" t="s">
        <v>441</v>
      </c>
      <c r="H84" s="455" t="s">
        <v>901</v>
      </c>
      <c r="I84" s="450">
        <v>45000</v>
      </c>
      <c r="J84" s="450">
        <v>2250</v>
      </c>
      <c r="K84" s="450">
        <v>2250</v>
      </c>
      <c r="L84" s="450">
        <v>0</v>
      </c>
      <c r="M84" s="450">
        <v>0</v>
      </c>
      <c r="N84" s="450">
        <v>0</v>
      </c>
      <c r="O84" s="450">
        <f t="shared" si="13"/>
        <v>40500</v>
      </c>
    </row>
    <row r="85" spans="1:16" s="214" customFormat="1" ht="24" customHeight="1" x14ac:dyDescent="0.2">
      <c r="A85" s="451">
        <v>14</v>
      </c>
      <c r="B85" s="452" t="s">
        <v>976</v>
      </c>
      <c r="C85" s="453" t="s">
        <v>979</v>
      </c>
      <c r="D85" s="453" t="s">
        <v>980</v>
      </c>
      <c r="E85" s="454" t="s">
        <v>115</v>
      </c>
      <c r="F85" s="454" t="s">
        <v>117</v>
      </c>
      <c r="G85" s="454" t="s">
        <v>441</v>
      </c>
      <c r="H85" s="455" t="s">
        <v>901</v>
      </c>
      <c r="I85" s="450">
        <v>60000</v>
      </c>
      <c r="J85" s="450">
        <v>3000</v>
      </c>
      <c r="K85" s="450">
        <v>3000</v>
      </c>
      <c r="L85" s="450">
        <v>0</v>
      </c>
      <c r="M85" s="450">
        <v>0</v>
      </c>
      <c r="N85" s="450">
        <v>0</v>
      </c>
      <c r="O85" s="450">
        <f t="shared" si="13"/>
        <v>54000</v>
      </c>
      <c r="P85" s="228"/>
    </row>
    <row r="86" spans="1:16" s="228" customFormat="1" ht="24" customHeight="1" x14ac:dyDescent="0.2">
      <c r="A86" s="451">
        <v>15</v>
      </c>
      <c r="B86" s="452" t="s">
        <v>981</v>
      </c>
      <c r="C86" s="453" t="s">
        <v>982</v>
      </c>
      <c r="D86" s="453" t="s">
        <v>983</v>
      </c>
      <c r="E86" s="454" t="s">
        <v>115</v>
      </c>
      <c r="F86" s="454" t="s">
        <v>117</v>
      </c>
      <c r="G86" s="454" t="s">
        <v>318</v>
      </c>
      <c r="H86" s="455" t="s">
        <v>901</v>
      </c>
      <c r="I86" s="450">
        <v>19000</v>
      </c>
      <c r="J86" s="450">
        <v>950</v>
      </c>
      <c r="K86" s="450">
        <v>950</v>
      </c>
      <c r="L86" s="450">
        <v>0</v>
      </c>
      <c r="M86" s="450">
        <v>0</v>
      </c>
      <c r="N86" s="450">
        <v>0</v>
      </c>
      <c r="O86" s="450">
        <f t="shared" si="13"/>
        <v>17100</v>
      </c>
    </row>
    <row r="87" spans="1:16" s="228" customFormat="1" ht="24" customHeight="1" x14ac:dyDescent="0.2">
      <c r="A87" s="451">
        <v>16</v>
      </c>
      <c r="B87" s="452" t="s">
        <v>984</v>
      </c>
      <c r="C87" s="453" t="s">
        <v>985</v>
      </c>
      <c r="D87" s="453" t="s">
        <v>986</v>
      </c>
      <c r="E87" s="454" t="s">
        <v>897</v>
      </c>
      <c r="F87" s="454" t="s">
        <v>117</v>
      </c>
      <c r="G87" s="454" t="s">
        <v>898</v>
      </c>
      <c r="H87" s="455" t="s">
        <v>987</v>
      </c>
      <c r="I87" s="450">
        <v>130680</v>
      </c>
      <c r="J87" s="450">
        <v>6534</v>
      </c>
      <c r="K87" s="450">
        <v>6534</v>
      </c>
      <c r="L87" s="450">
        <v>0</v>
      </c>
      <c r="M87" s="450">
        <v>0</v>
      </c>
      <c r="N87" s="450">
        <v>0</v>
      </c>
      <c r="O87" s="450">
        <f t="shared" si="13"/>
        <v>117612</v>
      </c>
    </row>
    <row r="88" spans="1:16" s="228" customFormat="1" ht="24" customHeight="1" x14ac:dyDescent="0.2">
      <c r="A88" s="451">
        <v>19</v>
      </c>
      <c r="B88" s="452" t="s">
        <v>994</v>
      </c>
      <c r="C88" s="453" t="s">
        <v>995</v>
      </c>
      <c r="D88" s="453" t="s">
        <v>996</v>
      </c>
      <c r="E88" s="454" t="s">
        <v>115</v>
      </c>
      <c r="F88" s="454" t="s">
        <v>117</v>
      </c>
      <c r="G88" s="454" t="s">
        <v>318</v>
      </c>
      <c r="H88" s="455" t="s">
        <v>901</v>
      </c>
      <c r="I88" s="450">
        <v>25000</v>
      </c>
      <c r="J88" s="450">
        <v>1250</v>
      </c>
      <c r="K88" s="450">
        <v>1250</v>
      </c>
      <c r="L88" s="450">
        <v>0</v>
      </c>
      <c r="M88" s="450">
        <v>0</v>
      </c>
      <c r="N88" s="450">
        <v>0</v>
      </c>
      <c r="O88" s="450">
        <f t="shared" si="13"/>
        <v>22500</v>
      </c>
    </row>
    <row r="89" spans="1:16" s="228" customFormat="1" ht="24" customHeight="1" x14ac:dyDescent="0.2">
      <c r="A89" s="451">
        <v>20</v>
      </c>
      <c r="B89" s="452" t="s">
        <v>997</v>
      </c>
      <c r="C89" s="453" t="s">
        <v>998</v>
      </c>
      <c r="D89" s="453" t="s">
        <v>999</v>
      </c>
      <c r="E89" s="454" t="s">
        <v>115</v>
      </c>
      <c r="F89" s="454" t="s">
        <v>117</v>
      </c>
      <c r="G89" s="454" t="s">
        <v>318</v>
      </c>
      <c r="H89" s="455" t="s">
        <v>901</v>
      </c>
      <c r="I89" s="450">
        <v>20000</v>
      </c>
      <c r="J89" s="450">
        <v>1000</v>
      </c>
      <c r="K89" s="450">
        <v>1000</v>
      </c>
      <c r="L89" s="450">
        <v>0</v>
      </c>
      <c r="M89" s="450">
        <v>0</v>
      </c>
      <c r="N89" s="450">
        <v>0</v>
      </c>
      <c r="O89" s="450">
        <f t="shared" si="13"/>
        <v>18000</v>
      </c>
    </row>
    <row r="90" spans="1:16" s="228" customFormat="1" ht="24" customHeight="1" x14ac:dyDescent="0.2">
      <c r="A90" s="451">
        <v>26</v>
      </c>
      <c r="B90" s="452" t="s">
        <v>1021</v>
      </c>
      <c r="C90" s="453" t="s">
        <v>1022</v>
      </c>
      <c r="D90" s="453" t="s">
        <v>1023</v>
      </c>
      <c r="E90" s="454" t="s">
        <v>302</v>
      </c>
      <c r="F90" s="454" t="s">
        <v>117</v>
      </c>
      <c r="G90" s="454" t="s">
        <v>303</v>
      </c>
      <c r="H90" s="455" t="s">
        <v>1024</v>
      </c>
      <c r="I90" s="450">
        <v>20000</v>
      </c>
      <c r="J90" s="450">
        <v>1000</v>
      </c>
      <c r="K90" s="450">
        <v>1000</v>
      </c>
      <c r="L90" s="450">
        <v>0</v>
      </c>
      <c r="M90" s="450">
        <v>0</v>
      </c>
      <c r="N90" s="450">
        <v>0</v>
      </c>
      <c r="O90" s="450">
        <f t="shared" si="13"/>
        <v>18000</v>
      </c>
    </row>
    <row r="91" spans="1:16" s="228" customFormat="1" ht="24" customHeight="1" x14ac:dyDescent="0.2">
      <c r="A91" s="451">
        <v>28</v>
      </c>
      <c r="B91" s="452" t="s">
        <v>1030</v>
      </c>
      <c r="C91" s="453" t="s">
        <v>1031</v>
      </c>
      <c r="D91" s="453" t="s">
        <v>1032</v>
      </c>
      <c r="E91" s="454" t="s">
        <v>1033</v>
      </c>
      <c r="F91" s="454" t="s">
        <v>117</v>
      </c>
      <c r="G91" s="454" t="s">
        <v>1034</v>
      </c>
      <c r="H91" s="455" t="s">
        <v>1035</v>
      </c>
      <c r="I91" s="450">
        <v>24000</v>
      </c>
      <c r="J91" s="450">
        <v>12000</v>
      </c>
      <c r="K91" s="450">
        <v>12000</v>
      </c>
      <c r="L91" s="450">
        <v>0</v>
      </c>
      <c r="M91" s="450">
        <v>0</v>
      </c>
      <c r="N91" s="450">
        <v>0</v>
      </c>
      <c r="O91" s="450">
        <f t="shared" si="13"/>
        <v>0</v>
      </c>
    </row>
    <row r="92" spans="1:16" s="228" customFormat="1" ht="24" customHeight="1" x14ac:dyDescent="0.2">
      <c r="A92" s="451">
        <v>33</v>
      </c>
      <c r="B92" s="452" t="s">
        <v>1057</v>
      </c>
      <c r="C92" s="453" t="s">
        <v>1058</v>
      </c>
      <c r="D92" s="453" t="s">
        <v>1059</v>
      </c>
      <c r="E92" s="454" t="s">
        <v>115</v>
      </c>
      <c r="F92" s="454" t="s">
        <v>117</v>
      </c>
      <c r="G92" s="454" t="s">
        <v>318</v>
      </c>
      <c r="H92" s="455" t="s">
        <v>901</v>
      </c>
      <c r="I92" s="450">
        <v>20000</v>
      </c>
      <c r="J92" s="450">
        <v>1000</v>
      </c>
      <c r="K92" s="450">
        <v>1000</v>
      </c>
      <c r="L92" s="450">
        <v>0</v>
      </c>
      <c r="M92" s="450">
        <v>0</v>
      </c>
      <c r="N92" s="450">
        <v>0</v>
      </c>
      <c r="O92" s="450">
        <f t="shared" si="13"/>
        <v>18000</v>
      </c>
    </row>
    <row r="93" spans="1:16" s="228" customFormat="1" ht="24" customHeight="1" x14ac:dyDescent="0.2">
      <c r="A93" s="451">
        <v>40</v>
      </c>
      <c r="B93" s="452" t="s">
        <v>1090</v>
      </c>
      <c r="C93" s="453" t="s">
        <v>1091</v>
      </c>
      <c r="D93" s="453" t="s">
        <v>1092</v>
      </c>
      <c r="E93" s="454" t="s">
        <v>115</v>
      </c>
      <c r="F93" s="454" t="s">
        <v>117</v>
      </c>
      <c r="G93" s="454" t="s">
        <v>318</v>
      </c>
      <c r="H93" s="455" t="s">
        <v>901</v>
      </c>
      <c r="I93" s="450">
        <v>25000</v>
      </c>
      <c r="J93" s="450">
        <v>1250</v>
      </c>
      <c r="K93" s="450">
        <v>1250</v>
      </c>
      <c r="L93" s="450">
        <v>0</v>
      </c>
      <c r="M93" s="450">
        <v>0</v>
      </c>
      <c r="N93" s="450">
        <v>0</v>
      </c>
      <c r="O93" s="450">
        <f t="shared" si="13"/>
        <v>22500</v>
      </c>
    </row>
    <row r="94" spans="1:16" s="228" customFormat="1" ht="24" customHeight="1" x14ac:dyDescent="0.2">
      <c r="A94" s="451">
        <v>41</v>
      </c>
      <c r="B94" s="452" t="s">
        <v>1093</v>
      </c>
      <c r="C94" s="453" t="s">
        <v>1094</v>
      </c>
      <c r="D94" s="453" t="s">
        <v>1095</v>
      </c>
      <c r="E94" s="454" t="s">
        <v>115</v>
      </c>
      <c r="F94" s="454" t="s">
        <v>117</v>
      </c>
      <c r="G94" s="454" t="s">
        <v>941</v>
      </c>
      <c r="H94" s="455" t="s">
        <v>901</v>
      </c>
      <c r="I94" s="450">
        <v>80000</v>
      </c>
      <c r="J94" s="450">
        <v>4000</v>
      </c>
      <c r="K94" s="450">
        <v>4000</v>
      </c>
      <c r="L94" s="450">
        <v>0</v>
      </c>
      <c r="M94" s="450">
        <v>0</v>
      </c>
      <c r="N94" s="450">
        <v>0</v>
      </c>
      <c r="O94" s="450">
        <f t="shared" si="13"/>
        <v>72000</v>
      </c>
    </row>
    <row r="95" spans="1:16" s="228" customFormat="1" ht="24" customHeight="1" x14ac:dyDescent="0.2">
      <c r="A95" s="451">
        <v>42</v>
      </c>
      <c r="B95" s="452" t="s">
        <v>1096</v>
      </c>
      <c r="C95" s="453" t="s">
        <v>1094</v>
      </c>
      <c r="D95" s="453" t="s">
        <v>1095</v>
      </c>
      <c r="E95" s="454" t="s">
        <v>115</v>
      </c>
      <c r="F95" s="454" t="s">
        <v>117</v>
      </c>
      <c r="G95" s="454" t="s">
        <v>295</v>
      </c>
      <c r="H95" s="455" t="s">
        <v>901</v>
      </c>
      <c r="I95" s="450">
        <v>431000</v>
      </c>
      <c r="J95" s="450">
        <v>21550</v>
      </c>
      <c r="K95" s="450">
        <v>21550</v>
      </c>
      <c r="L95" s="450">
        <v>0</v>
      </c>
      <c r="M95" s="450">
        <v>0</v>
      </c>
      <c r="N95" s="450">
        <v>0</v>
      </c>
      <c r="O95" s="450">
        <f t="shared" si="13"/>
        <v>387900</v>
      </c>
    </row>
    <row r="96" spans="1:16" s="228" customFormat="1" ht="24" customHeight="1" x14ac:dyDescent="0.2">
      <c r="A96" s="451">
        <v>46</v>
      </c>
      <c r="B96" s="452" t="s">
        <v>1097</v>
      </c>
      <c r="C96" s="459" t="s">
        <v>1109</v>
      </c>
      <c r="D96" s="453" t="s">
        <v>1110</v>
      </c>
      <c r="E96" s="454" t="s">
        <v>115</v>
      </c>
      <c r="F96" s="454" t="s">
        <v>117</v>
      </c>
      <c r="G96" s="454" t="s">
        <v>1111</v>
      </c>
      <c r="H96" s="455" t="s">
        <v>901</v>
      </c>
      <c r="I96" s="450">
        <v>2625000</v>
      </c>
      <c r="J96" s="450">
        <v>131250</v>
      </c>
      <c r="K96" s="450">
        <v>131250</v>
      </c>
      <c r="L96" s="450">
        <v>0</v>
      </c>
      <c r="M96" s="450">
        <v>0</v>
      </c>
      <c r="N96" s="450">
        <v>0</v>
      </c>
      <c r="O96" s="450">
        <f t="shared" si="13"/>
        <v>2362500</v>
      </c>
    </row>
    <row r="97" spans="1:15" s="228" customFormat="1" ht="24" customHeight="1" x14ac:dyDescent="0.2">
      <c r="A97" s="451">
        <v>47</v>
      </c>
      <c r="B97" s="452" t="s">
        <v>1097</v>
      </c>
      <c r="C97" s="459" t="s">
        <v>1109</v>
      </c>
      <c r="D97" s="453" t="s">
        <v>1112</v>
      </c>
      <c r="E97" s="454" t="s">
        <v>302</v>
      </c>
      <c r="F97" s="454" t="s">
        <v>117</v>
      </c>
      <c r="G97" s="454" t="s">
        <v>318</v>
      </c>
      <c r="H97" s="455" t="s">
        <v>1113</v>
      </c>
      <c r="I97" s="450">
        <v>25000</v>
      </c>
      <c r="J97" s="450">
        <v>1250</v>
      </c>
      <c r="K97" s="450">
        <v>1250</v>
      </c>
      <c r="L97" s="450">
        <v>0</v>
      </c>
      <c r="M97" s="450">
        <v>0</v>
      </c>
      <c r="N97" s="450">
        <v>0</v>
      </c>
      <c r="O97" s="450">
        <f t="shared" si="13"/>
        <v>22500</v>
      </c>
    </row>
    <row r="98" spans="1:15" s="228" customFormat="1" ht="24" customHeight="1" x14ac:dyDescent="0.2">
      <c r="A98" s="451">
        <v>50</v>
      </c>
      <c r="B98" s="452">
        <v>242796</v>
      </c>
      <c r="C98" s="457" t="s">
        <v>932</v>
      </c>
      <c r="D98" s="453" t="s">
        <v>933</v>
      </c>
      <c r="E98" s="454" t="s">
        <v>1033</v>
      </c>
      <c r="F98" s="454" t="s">
        <v>117</v>
      </c>
      <c r="G98" s="454" t="s">
        <v>1034</v>
      </c>
      <c r="H98" s="455" t="s">
        <v>1120</v>
      </c>
      <c r="I98" s="450">
        <v>216000</v>
      </c>
      <c r="J98" s="450">
        <v>0</v>
      </c>
      <c r="K98" s="450">
        <v>0</v>
      </c>
      <c r="L98" s="450">
        <v>0</v>
      </c>
      <c r="M98" s="450">
        <v>0</v>
      </c>
      <c r="N98" s="450">
        <v>0</v>
      </c>
      <c r="O98" s="450">
        <f t="shared" si="13"/>
        <v>216000</v>
      </c>
    </row>
    <row r="99" spans="1:15" s="228" customFormat="1" ht="24" customHeight="1" x14ac:dyDescent="0.2">
      <c r="A99" s="451">
        <v>51</v>
      </c>
      <c r="B99" s="452">
        <v>242796</v>
      </c>
      <c r="C99" s="457" t="s">
        <v>932</v>
      </c>
      <c r="D99" s="453" t="s">
        <v>933</v>
      </c>
      <c r="E99" s="454" t="s">
        <v>302</v>
      </c>
      <c r="F99" s="454" t="s">
        <v>117</v>
      </c>
      <c r="G99" s="454" t="s">
        <v>1121</v>
      </c>
      <c r="H99" s="455" t="s">
        <v>1122</v>
      </c>
      <c r="I99" s="450">
        <v>316890</v>
      </c>
      <c r="J99" s="450">
        <v>0</v>
      </c>
      <c r="K99" s="450">
        <v>0</v>
      </c>
      <c r="L99" s="450">
        <v>0</v>
      </c>
      <c r="M99" s="450">
        <v>0</v>
      </c>
      <c r="N99" s="450">
        <v>0</v>
      </c>
      <c r="O99" s="450">
        <f t="shared" si="13"/>
        <v>316890</v>
      </c>
    </row>
    <row r="100" spans="1:15" s="228" customFormat="1" ht="24" customHeight="1" x14ac:dyDescent="0.2">
      <c r="A100" s="464" t="s">
        <v>152</v>
      </c>
      <c r="B100" s="465"/>
      <c r="C100" s="466"/>
      <c r="D100" s="467"/>
      <c r="E100" s="464"/>
      <c r="F100" s="464"/>
      <c r="G100" s="464"/>
      <c r="H100" s="468"/>
      <c r="I100" s="469">
        <f>SUM(I101:I107)</f>
        <v>8900000</v>
      </c>
      <c r="J100" s="469">
        <f t="shared" ref="J100:O100" si="14">SUM(J101:J107)</f>
        <v>100000</v>
      </c>
      <c r="K100" s="469">
        <f t="shared" si="14"/>
        <v>100000</v>
      </c>
      <c r="L100" s="469">
        <f t="shared" si="14"/>
        <v>40000</v>
      </c>
      <c r="M100" s="469">
        <f t="shared" si="14"/>
        <v>40000</v>
      </c>
      <c r="N100" s="469">
        <f t="shared" si="14"/>
        <v>0</v>
      </c>
      <c r="O100" s="469">
        <f t="shared" si="14"/>
        <v>8620000</v>
      </c>
    </row>
    <row r="101" spans="1:15" s="228" customFormat="1" ht="24" customHeight="1" x14ac:dyDescent="0.2">
      <c r="A101" s="451">
        <v>9</v>
      </c>
      <c r="B101" s="452" t="s">
        <v>1164</v>
      </c>
      <c r="C101" s="453" t="s">
        <v>1165</v>
      </c>
      <c r="D101" s="453" t="s">
        <v>1166</v>
      </c>
      <c r="E101" s="454" t="s">
        <v>1167</v>
      </c>
      <c r="F101" s="454" t="s">
        <v>1168</v>
      </c>
      <c r="G101" s="454" t="s">
        <v>1169</v>
      </c>
      <c r="H101" s="455" t="s">
        <v>1170</v>
      </c>
      <c r="I101" s="450">
        <v>320000</v>
      </c>
      <c r="J101" s="450">
        <v>0</v>
      </c>
      <c r="K101" s="450">
        <v>0</v>
      </c>
      <c r="L101" s="450">
        <v>40000</v>
      </c>
      <c r="M101" s="450">
        <v>40000</v>
      </c>
      <c r="N101" s="450">
        <v>0</v>
      </c>
      <c r="O101" s="450">
        <f t="shared" ref="O101:O107" si="15">+I101-(SUM(J101:N101))</f>
        <v>240000</v>
      </c>
    </row>
    <row r="102" spans="1:15" s="228" customFormat="1" ht="24" customHeight="1" x14ac:dyDescent="0.2">
      <c r="A102" s="451">
        <v>16</v>
      </c>
      <c r="B102" s="452" t="s">
        <v>1194</v>
      </c>
      <c r="C102" s="453" t="s">
        <v>1200</v>
      </c>
      <c r="D102" s="453" t="s">
        <v>1201</v>
      </c>
      <c r="E102" s="454" t="s">
        <v>1202</v>
      </c>
      <c r="F102" s="454" t="s">
        <v>1203</v>
      </c>
      <c r="G102" s="454" t="s">
        <v>1204</v>
      </c>
      <c r="H102" s="455" t="s">
        <v>1205</v>
      </c>
      <c r="I102" s="450">
        <v>700000</v>
      </c>
      <c r="J102" s="450">
        <v>35000</v>
      </c>
      <c r="K102" s="450">
        <v>35000</v>
      </c>
      <c r="L102" s="450">
        <v>0</v>
      </c>
      <c r="M102" s="450">
        <v>0</v>
      </c>
      <c r="N102" s="450">
        <v>0</v>
      </c>
      <c r="O102" s="450">
        <f t="shared" si="15"/>
        <v>630000</v>
      </c>
    </row>
    <row r="103" spans="1:15" s="228" customFormat="1" ht="24" customHeight="1" x14ac:dyDescent="0.2">
      <c r="A103" s="451">
        <v>17</v>
      </c>
      <c r="B103" s="452" t="s">
        <v>1194</v>
      </c>
      <c r="C103" s="453" t="s">
        <v>1200</v>
      </c>
      <c r="D103" s="453" t="s">
        <v>1201</v>
      </c>
      <c r="E103" s="454" t="s">
        <v>1206</v>
      </c>
      <c r="F103" s="454" t="s">
        <v>1203</v>
      </c>
      <c r="G103" s="454" t="s">
        <v>1204</v>
      </c>
      <c r="H103" s="455" t="s">
        <v>1207</v>
      </c>
      <c r="I103" s="450">
        <v>430000</v>
      </c>
      <c r="J103" s="450">
        <v>21500</v>
      </c>
      <c r="K103" s="450">
        <v>21500</v>
      </c>
      <c r="L103" s="450">
        <v>0</v>
      </c>
      <c r="M103" s="450">
        <v>0</v>
      </c>
      <c r="N103" s="450">
        <v>0</v>
      </c>
      <c r="O103" s="450">
        <f t="shared" si="15"/>
        <v>387000</v>
      </c>
    </row>
    <row r="104" spans="1:15" s="228" customFormat="1" ht="24" customHeight="1" x14ac:dyDescent="0.2">
      <c r="A104" s="451">
        <v>18</v>
      </c>
      <c r="B104" s="452" t="s">
        <v>1194</v>
      </c>
      <c r="C104" s="453" t="s">
        <v>1200</v>
      </c>
      <c r="D104" s="453" t="s">
        <v>1201</v>
      </c>
      <c r="E104" s="454" t="s">
        <v>963</v>
      </c>
      <c r="F104" s="454" t="s">
        <v>1203</v>
      </c>
      <c r="G104" s="454" t="s">
        <v>1204</v>
      </c>
      <c r="H104" s="455" t="s">
        <v>1208</v>
      </c>
      <c r="I104" s="450">
        <v>440000</v>
      </c>
      <c r="J104" s="450">
        <v>22000</v>
      </c>
      <c r="K104" s="450">
        <v>22000</v>
      </c>
      <c r="L104" s="450">
        <v>0</v>
      </c>
      <c r="M104" s="450">
        <v>0</v>
      </c>
      <c r="N104" s="450">
        <v>0</v>
      </c>
      <c r="O104" s="450">
        <f t="shared" si="15"/>
        <v>396000</v>
      </c>
    </row>
    <row r="105" spans="1:15" s="228" customFormat="1" ht="24" customHeight="1" x14ac:dyDescent="0.2">
      <c r="A105" s="451">
        <v>19</v>
      </c>
      <c r="B105" s="452" t="s">
        <v>1194</v>
      </c>
      <c r="C105" s="453" t="s">
        <v>1200</v>
      </c>
      <c r="D105" s="453" t="s">
        <v>1201</v>
      </c>
      <c r="E105" s="454" t="s">
        <v>1209</v>
      </c>
      <c r="F105" s="454" t="s">
        <v>1203</v>
      </c>
      <c r="G105" s="454" t="s">
        <v>1204</v>
      </c>
      <c r="H105" s="455" t="s">
        <v>1210</v>
      </c>
      <c r="I105" s="450">
        <v>430000</v>
      </c>
      <c r="J105" s="450">
        <v>21500</v>
      </c>
      <c r="K105" s="450">
        <v>21500</v>
      </c>
      <c r="L105" s="450">
        <v>0</v>
      </c>
      <c r="M105" s="450">
        <v>0</v>
      </c>
      <c r="N105" s="450">
        <v>0</v>
      </c>
      <c r="O105" s="450">
        <f t="shared" si="15"/>
        <v>387000</v>
      </c>
    </row>
    <row r="106" spans="1:15" s="228" customFormat="1" ht="24" customHeight="1" x14ac:dyDescent="0.2">
      <c r="A106" s="451">
        <v>30</v>
      </c>
      <c r="B106" s="452" t="s">
        <v>926</v>
      </c>
      <c r="C106" s="453" t="s">
        <v>1249</v>
      </c>
      <c r="D106" s="453" t="s">
        <v>1250</v>
      </c>
      <c r="E106" s="454" t="s">
        <v>1251</v>
      </c>
      <c r="F106" s="454" t="s">
        <v>1252</v>
      </c>
      <c r="G106" s="454" t="s">
        <v>1253</v>
      </c>
      <c r="H106" s="455" t="s">
        <v>1254</v>
      </c>
      <c r="I106" s="450">
        <v>4216000</v>
      </c>
      <c r="J106" s="450">
        <v>0</v>
      </c>
      <c r="K106" s="450">
        <v>0</v>
      </c>
      <c r="L106" s="450">
        <v>0</v>
      </c>
      <c r="M106" s="450">
        <v>0</v>
      </c>
      <c r="N106" s="456" t="s">
        <v>1255</v>
      </c>
      <c r="O106" s="450">
        <f t="shared" si="15"/>
        <v>4216000</v>
      </c>
    </row>
    <row r="107" spans="1:15" s="228" customFormat="1" ht="24" customHeight="1" x14ac:dyDescent="0.2">
      <c r="A107" s="451">
        <v>42</v>
      </c>
      <c r="B107" s="452">
        <v>242796</v>
      </c>
      <c r="C107" s="457" t="s">
        <v>932</v>
      </c>
      <c r="D107" s="453" t="s">
        <v>933</v>
      </c>
      <c r="E107" s="454" t="s">
        <v>1251</v>
      </c>
      <c r="F107" s="454" t="s">
        <v>1252</v>
      </c>
      <c r="G107" s="454" t="s">
        <v>1253</v>
      </c>
      <c r="H107" s="458" t="s">
        <v>1284</v>
      </c>
      <c r="I107" s="450">
        <v>2364000</v>
      </c>
      <c r="J107" s="450">
        <v>0</v>
      </c>
      <c r="K107" s="450">
        <v>0</v>
      </c>
      <c r="L107" s="450">
        <v>0</v>
      </c>
      <c r="M107" s="450">
        <v>0</v>
      </c>
      <c r="N107" s="450">
        <v>0</v>
      </c>
      <c r="O107" s="450">
        <f t="shared" si="15"/>
        <v>2364000</v>
      </c>
    </row>
    <row r="108" spans="1:15" s="228" customFormat="1" ht="24" customHeight="1" x14ac:dyDescent="0.2">
      <c r="A108" s="464" t="s">
        <v>923</v>
      </c>
      <c r="B108" s="465"/>
      <c r="C108" s="466"/>
      <c r="D108" s="467"/>
      <c r="E108" s="464"/>
      <c r="F108" s="464"/>
      <c r="G108" s="464"/>
      <c r="H108" s="470"/>
      <c r="I108" s="469">
        <f>SUM(I109:I111)</f>
        <v>530115</v>
      </c>
      <c r="J108" s="469">
        <f t="shared" ref="J108:O108" si="16">SUM(J109:J111)</f>
        <v>26505.75</v>
      </c>
      <c r="K108" s="469">
        <f t="shared" si="16"/>
        <v>26505.75</v>
      </c>
      <c r="L108" s="469">
        <f t="shared" si="16"/>
        <v>0</v>
      </c>
      <c r="M108" s="469">
        <f t="shared" si="16"/>
        <v>0</v>
      </c>
      <c r="N108" s="469">
        <f t="shared" si="16"/>
        <v>0</v>
      </c>
      <c r="O108" s="469">
        <f t="shared" si="16"/>
        <v>477103.5</v>
      </c>
    </row>
    <row r="109" spans="1:15" s="228" customFormat="1" ht="24" customHeight="1" x14ac:dyDescent="0.2">
      <c r="A109" s="451">
        <v>1</v>
      </c>
      <c r="B109" s="452" t="s">
        <v>920</v>
      </c>
      <c r="C109" s="453" t="s">
        <v>921</v>
      </c>
      <c r="D109" s="453" t="s">
        <v>922</v>
      </c>
      <c r="E109" s="454" t="s">
        <v>529</v>
      </c>
      <c r="F109" s="454" t="s">
        <v>923</v>
      </c>
      <c r="G109" s="454" t="s">
        <v>924</v>
      </c>
      <c r="H109" s="455" t="s">
        <v>925</v>
      </c>
      <c r="I109" s="450">
        <v>20000</v>
      </c>
      <c r="J109" s="450">
        <v>10000</v>
      </c>
      <c r="K109" s="450">
        <v>10000</v>
      </c>
      <c r="L109" s="450">
        <v>0</v>
      </c>
      <c r="M109" s="450">
        <v>0</v>
      </c>
      <c r="N109" s="450">
        <v>0</v>
      </c>
      <c r="O109" s="450">
        <f>+I109-(SUM(J109:N109))</f>
        <v>0</v>
      </c>
    </row>
    <row r="110" spans="1:15" s="228" customFormat="1" ht="24" customHeight="1" x14ac:dyDescent="0.2">
      <c r="A110" s="451">
        <v>2</v>
      </c>
      <c r="B110" s="452" t="s">
        <v>926</v>
      </c>
      <c r="C110" s="453" t="s">
        <v>927</v>
      </c>
      <c r="D110" s="453" t="s">
        <v>928</v>
      </c>
      <c r="E110" s="454" t="s">
        <v>929</v>
      </c>
      <c r="F110" s="454" t="s">
        <v>923</v>
      </c>
      <c r="G110" s="454" t="s">
        <v>930</v>
      </c>
      <c r="H110" s="455" t="s">
        <v>931</v>
      </c>
      <c r="I110" s="450">
        <v>330115</v>
      </c>
      <c r="J110" s="450">
        <v>16505.75</v>
      </c>
      <c r="K110" s="450">
        <v>16505.75</v>
      </c>
      <c r="L110" s="450">
        <v>0</v>
      </c>
      <c r="M110" s="450">
        <v>0</v>
      </c>
      <c r="N110" s="450">
        <v>0</v>
      </c>
      <c r="O110" s="450">
        <f>+I110-(SUM(J110:N110))</f>
        <v>297103.5</v>
      </c>
    </row>
    <row r="111" spans="1:15" s="228" customFormat="1" ht="24" customHeight="1" x14ac:dyDescent="0.2">
      <c r="A111" s="451">
        <v>3</v>
      </c>
      <c r="B111" s="452">
        <v>242796</v>
      </c>
      <c r="C111" s="457" t="s">
        <v>932</v>
      </c>
      <c r="D111" s="453" t="s">
        <v>933</v>
      </c>
      <c r="E111" s="454" t="s">
        <v>529</v>
      </c>
      <c r="F111" s="454" t="s">
        <v>923</v>
      </c>
      <c r="G111" s="454" t="s">
        <v>924</v>
      </c>
      <c r="H111" s="455" t="s">
        <v>934</v>
      </c>
      <c r="I111" s="450">
        <v>180000</v>
      </c>
      <c r="J111" s="450">
        <v>0</v>
      </c>
      <c r="K111" s="450">
        <v>0</v>
      </c>
      <c r="L111" s="450">
        <v>0</v>
      </c>
      <c r="M111" s="450">
        <v>0</v>
      </c>
      <c r="N111" s="450">
        <v>0</v>
      </c>
      <c r="O111" s="450">
        <f>+I111-(SUM(J111:N111))</f>
        <v>180000</v>
      </c>
    </row>
    <row r="112" spans="1:15" s="228" customFormat="1" ht="24" customHeight="1" x14ac:dyDescent="0.2">
      <c r="A112" s="464" t="s">
        <v>1133</v>
      </c>
      <c r="B112" s="465"/>
      <c r="C112" s="466"/>
      <c r="D112" s="467"/>
      <c r="E112" s="464"/>
      <c r="F112" s="464"/>
      <c r="G112" s="464"/>
      <c r="H112" s="468"/>
      <c r="I112" s="469">
        <f>SUM(I113:I114)</f>
        <v>1504492</v>
      </c>
      <c r="J112" s="469">
        <f t="shared" ref="J112:O112" si="17">SUM(J113:J114)</f>
        <v>75224.600000000006</v>
      </c>
      <c r="K112" s="469">
        <f t="shared" si="17"/>
        <v>75224.600000000006</v>
      </c>
      <c r="L112" s="469">
        <f t="shared" si="17"/>
        <v>0</v>
      </c>
      <c r="M112" s="469">
        <f t="shared" si="17"/>
        <v>0</v>
      </c>
      <c r="N112" s="469">
        <f t="shared" si="17"/>
        <v>0</v>
      </c>
      <c r="O112" s="469">
        <f t="shared" si="17"/>
        <v>1354042.8</v>
      </c>
    </row>
    <row r="113" spans="1:15" s="228" customFormat="1" ht="24" customHeight="1" x14ac:dyDescent="0.2">
      <c r="A113" s="451">
        <v>2</v>
      </c>
      <c r="B113" s="452" t="s">
        <v>1129</v>
      </c>
      <c r="C113" s="453" t="s">
        <v>1130</v>
      </c>
      <c r="D113" s="453" t="s">
        <v>1131</v>
      </c>
      <c r="E113" s="454" t="s">
        <v>1132</v>
      </c>
      <c r="F113" s="454" t="s">
        <v>1133</v>
      </c>
      <c r="G113" s="454" t="s">
        <v>1134</v>
      </c>
      <c r="H113" s="455" t="s">
        <v>1135</v>
      </c>
      <c r="I113" s="450">
        <v>150449.20000000001</v>
      </c>
      <c r="J113" s="450">
        <v>75224.600000000006</v>
      </c>
      <c r="K113" s="450">
        <v>75224.600000000006</v>
      </c>
      <c r="L113" s="450">
        <v>0</v>
      </c>
      <c r="M113" s="450">
        <v>0</v>
      </c>
      <c r="N113" s="450">
        <v>0</v>
      </c>
      <c r="O113" s="450">
        <f>+I113-(SUM(J113:N113))</f>
        <v>0</v>
      </c>
    </row>
    <row r="114" spans="1:15" s="228" customFormat="1" ht="24" customHeight="1" x14ac:dyDescent="0.2">
      <c r="A114" s="451">
        <v>38</v>
      </c>
      <c r="B114" s="452">
        <v>242796</v>
      </c>
      <c r="C114" s="457" t="s">
        <v>932</v>
      </c>
      <c r="D114" s="453" t="s">
        <v>933</v>
      </c>
      <c r="E114" s="454" t="s">
        <v>1132</v>
      </c>
      <c r="F114" s="454" t="s">
        <v>1133</v>
      </c>
      <c r="G114" s="454" t="s">
        <v>1134</v>
      </c>
      <c r="H114" s="458" t="s">
        <v>1280</v>
      </c>
      <c r="I114" s="450">
        <v>1354042.8</v>
      </c>
      <c r="J114" s="450">
        <v>0</v>
      </c>
      <c r="K114" s="450">
        <v>0</v>
      </c>
      <c r="L114" s="450">
        <v>0</v>
      </c>
      <c r="M114" s="450">
        <v>0</v>
      </c>
      <c r="N114" s="450">
        <v>0</v>
      </c>
      <c r="O114" s="450">
        <f>+I114-(SUM(J114:N114))</f>
        <v>1354042.8</v>
      </c>
    </row>
    <row r="115" spans="1:15" s="243" customFormat="1" ht="20.100000000000001" customHeight="1" thickBot="1" x14ac:dyDescent="0.25">
      <c r="A115" s="718" t="s">
        <v>1919</v>
      </c>
      <c r="B115" s="718"/>
      <c r="C115" s="718"/>
      <c r="D115" s="718"/>
      <c r="E115" s="718"/>
      <c r="F115" s="718"/>
      <c r="G115" s="718"/>
      <c r="H115" s="718"/>
      <c r="I115" s="476">
        <f>SUM(I8+I15+I18+I27+I36+I55+I57+I72+I100+I108+I112)</f>
        <v>29949070.460000001</v>
      </c>
      <c r="J115" s="476">
        <f t="shared" ref="J115:O115" si="18">SUM(J8+J15+J18+J27+J36+J55+J57+J72+J100+J108+J112)</f>
        <v>871812.13</v>
      </c>
      <c r="K115" s="476">
        <f t="shared" si="18"/>
        <v>871812.13</v>
      </c>
      <c r="L115" s="476">
        <f t="shared" si="18"/>
        <v>280213.75</v>
      </c>
      <c r="M115" s="476">
        <f t="shared" si="18"/>
        <v>280213.75</v>
      </c>
      <c r="N115" s="476">
        <f t="shared" si="18"/>
        <v>0</v>
      </c>
      <c r="O115" s="476">
        <f t="shared" si="18"/>
        <v>27645018.699999999</v>
      </c>
    </row>
    <row r="116" spans="1:15" ht="20.25" thickTop="1" x14ac:dyDescent="0.45"/>
    <row r="117" spans="1:15" x14ac:dyDescent="0.45">
      <c r="J117" s="248"/>
      <c r="K117" s="248"/>
      <c r="L117" s="248"/>
      <c r="M117" s="248"/>
      <c r="N117" s="248"/>
      <c r="O117" s="248"/>
    </row>
    <row r="119" spans="1:15" x14ac:dyDescent="0.45">
      <c r="J119" s="248"/>
      <c r="K119" s="248"/>
      <c r="L119" s="248"/>
      <c r="M119" s="248"/>
      <c r="N119" s="248"/>
      <c r="O119" s="248"/>
    </row>
    <row r="183" spans="1:16" ht="21.75" x14ac:dyDescent="0.45">
      <c r="A183" s="714"/>
      <c r="B183" s="714"/>
      <c r="C183" s="714"/>
      <c r="D183" s="714"/>
      <c r="E183" s="714"/>
      <c r="F183" s="714"/>
      <c r="G183" s="714"/>
      <c r="H183" s="714"/>
      <c r="I183" s="714"/>
      <c r="J183" s="714"/>
      <c r="K183" s="714"/>
      <c r="L183" s="715"/>
      <c r="M183" s="715"/>
      <c r="N183" s="715"/>
      <c r="O183" s="715"/>
      <c r="P183" s="244"/>
    </row>
    <row r="184" spans="1:16" ht="21.75" x14ac:dyDescent="0.45">
      <c r="A184" s="714"/>
      <c r="B184" s="714"/>
      <c r="C184" s="714"/>
      <c r="D184" s="714"/>
      <c r="E184" s="714"/>
      <c r="F184" s="714"/>
      <c r="G184" s="714"/>
      <c r="H184" s="714"/>
      <c r="I184" s="714"/>
      <c r="J184" s="714"/>
      <c r="K184" s="714"/>
      <c r="L184" s="715"/>
      <c r="M184" s="715"/>
      <c r="N184" s="715"/>
      <c r="O184" s="715"/>
      <c r="P184" s="244"/>
    </row>
    <row r="185" spans="1:16" ht="21.75" x14ac:dyDescent="0.45">
      <c r="A185" s="714"/>
      <c r="B185" s="714"/>
      <c r="C185" s="714"/>
      <c r="D185" s="714"/>
      <c r="E185" s="714"/>
      <c r="F185" s="714"/>
      <c r="G185" s="714"/>
      <c r="H185" s="714"/>
      <c r="I185" s="714"/>
      <c r="J185" s="714"/>
      <c r="K185" s="714"/>
      <c r="L185" s="715"/>
      <c r="M185" s="715"/>
      <c r="N185" s="715"/>
      <c r="O185" s="715"/>
      <c r="P185" s="244"/>
    </row>
  </sheetData>
  <sortState ref="A8:P108">
    <sortCondition ref="F8:F108"/>
  </sortState>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85:D185"/>
    <mergeCell ref="E185:G185"/>
    <mergeCell ref="H185:K185"/>
    <mergeCell ref="L185:O185"/>
    <mergeCell ref="J6:K6"/>
    <mergeCell ref="A184:D184"/>
    <mergeCell ref="E184:G184"/>
    <mergeCell ref="H184:K184"/>
    <mergeCell ref="L184:O184"/>
    <mergeCell ref="A115:H115"/>
    <mergeCell ref="A183:D183"/>
    <mergeCell ref="E183:G183"/>
    <mergeCell ref="H183:K183"/>
    <mergeCell ref="L183:O18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1"/>
  <sheetViews>
    <sheetView topLeftCell="A118" workbookViewId="0">
      <selection activeCell="A3" sqref="A3:O3"/>
    </sheetView>
  </sheetViews>
  <sheetFormatPr defaultRowHeight="19.5" x14ac:dyDescent="0.45"/>
  <cols>
    <col min="1" max="1" width="4.625" style="245" customWidth="1"/>
    <col min="2" max="2" width="9.125" style="271" customWidth="1"/>
    <col min="3" max="3" width="10.625" style="245" customWidth="1"/>
    <col min="4" max="4" width="16.625" style="245" customWidth="1"/>
    <col min="5" max="5" width="22.625" style="247" customWidth="1"/>
    <col min="6" max="7" width="17.125" style="206" customWidth="1"/>
    <col min="8" max="8" width="28.125" style="206"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19" t="s">
        <v>250</v>
      </c>
      <c r="B1" s="719"/>
      <c r="C1" s="719"/>
      <c r="D1" s="719"/>
      <c r="E1" s="719"/>
      <c r="F1" s="719"/>
      <c r="G1" s="719"/>
      <c r="H1" s="719"/>
      <c r="I1" s="719"/>
      <c r="J1" s="719"/>
      <c r="K1" s="719"/>
      <c r="L1" s="719"/>
      <c r="M1" s="719"/>
      <c r="N1" s="719"/>
      <c r="O1" s="719"/>
    </row>
    <row r="2" spans="1:16" ht="21" x14ac:dyDescent="0.45">
      <c r="A2" s="719" t="s">
        <v>251</v>
      </c>
      <c r="B2" s="719"/>
      <c r="C2" s="719"/>
      <c r="D2" s="719"/>
      <c r="E2" s="719"/>
      <c r="F2" s="719"/>
      <c r="G2" s="719"/>
      <c r="H2" s="719"/>
      <c r="I2" s="719"/>
      <c r="J2" s="719"/>
      <c r="K2" s="719"/>
      <c r="L2" s="719"/>
      <c r="M2" s="719"/>
      <c r="N2" s="719"/>
      <c r="O2" s="719"/>
    </row>
    <row r="3" spans="1:16" ht="21" x14ac:dyDescent="0.45">
      <c r="A3" s="719" t="s">
        <v>1285</v>
      </c>
      <c r="B3" s="719"/>
      <c r="C3" s="719"/>
      <c r="D3" s="719"/>
      <c r="E3" s="719"/>
      <c r="F3" s="719"/>
      <c r="G3" s="719"/>
      <c r="H3" s="719"/>
      <c r="I3" s="719"/>
      <c r="J3" s="719"/>
      <c r="K3" s="719"/>
      <c r="L3" s="719"/>
      <c r="M3" s="719"/>
      <c r="N3" s="719"/>
      <c r="O3" s="719"/>
    </row>
    <row r="4" spans="1:16" s="210" customFormat="1" ht="20.25" thickBot="1" x14ac:dyDescent="0.5">
      <c r="A4" s="207"/>
      <c r="B4" s="250"/>
      <c r="C4" s="207"/>
      <c r="D4" s="207"/>
      <c r="E4" s="209"/>
      <c r="I4" s="211"/>
    </row>
    <row r="5" spans="1:16" s="213" customFormat="1" ht="18.75" x14ac:dyDescent="0.4">
      <c r="A5" s="720" t="s">
        <v>253</v>
      </c>
      <c r="B5" s="722" t="s">
        <v>254</v>
      </c>
      <c r="C5" s="723"/>
      <c r="D5" s="723"/>
      <c r="E5" s="723"/>
      <c r="F5" s="723"/>
      <c r="G5" s="723"/>
      <c r="H5" s="723"/>
      <c r="I5" s="724"/>
      <c r="J5" s="725" t="s">
        <v>255</v>
      </c>
      <c r="K5" s="726"/>
      <c r="L5" s="726"/>
      <c r="M5" s="726"/>
      <c r="N5" s="727"/>
      <c r="O5" s="728" t="s">
        <v>256</v>
      </c>
      <c r="P5" s="212"/>
    </row>
    <row r="6" spans="1:16" s="214" customFormat="1" ht="18.75" x14ac:dyDescent="0.2">
      <c r="A6" s="721"/>
      <c r="B6" s="743" t="s">
        <v>257</v>
      </c>
      <c r="C6" s="744" t="s">
        <v>2</v>
      </c>
      <c r="D6" s="744" t="s">
        <v>258</v>
      </c>
      <c r="E6" s="745" t="s">
        <v>259</v>
      </c>
      <c r="F6" s="744" t="s">
        <v>260</v>
      </c>
      <c r="G6" s="744" t="s">
        <v>261</v>
      </c>
      <c r="H6" s="744" t="s">
        <v>262</v>
      </c>
      <c r="I6" s="736" t="s">
        <v>263</v>
      </c>
      <c r="J6" s="716" t="s">
        <v>264</v>
      </c>
      <c r="K6" s="717"/>
      <c r="L6" s="716" t="s">
        <v>265</v>
      </c>
      <c r="M6" s="717"/>
      <c r="N6" s="734"/>
      <c r="O6" s="729"/>
    </row>
    <row r="7" spans="1:16" s="213" customFormat="1" ht="75" x14ac:dyDescent="0.4">
      <c r="A7" s="741"/>
      <c r="B7" s="743"/>
      <c r="C7" s="744"/>
      <c r="D7" s="744"/>
      <c r="E7" s="746"/>
      <c r="F7" s="744"/>
      <c r="G7" s="744"/>
      <c r="H7" s="744"/>
      <c r="I7" s="736"/>
      <c r="J7" s="215" t="s">
        <v>266</v>
      </c>
      <c r="K7" s="215" t="s">
        <v>267</v>
      </c>
      <c r="L7" s="215" t="s">
        <v>266</v>
      </c>
      <c r="M7" s="215" t="s">
        <v>267</v>
      </c>
      <c r="N7" s="215" t="s">
        <v>894</v>
      </c>
      <c r="O7" s="742"/>
      <c r="P7" s="212"/>
    </row>
    <row r="8" spans="1:16" x14ac:dyDescent="0.45">
      <c r="A8" s="216" t="s">
        <v>526</v>
      </c>
      <c r="B8" s="251"/>
      <c r="C8" s="217"/>
      <c r="D8" s="217"/>
      <c r="E8" s="218"/>
      <c r="F8" s="219"/>
      <c r="G8" s="219"/>
      <c r="H8" s="219"/>
      <c r="I8" s="220">
        <f t="shared" ref="I8:O8" si="0">SUM(I9:I9)</f>
        <v>26600</v>
      </c>
      <c r="J8" s="220">
        <f t="shared" si="0"/>
        <v>0</v>
      </c>
      <c r="K8" s="220">
        <f t="shared" si="0"/>
        <v>0</v>
      </c>
      <c r="L8" s="220">
        <f t="shared" si="0"/>
        <v>13300</v>
      </c>
      <c r="M8" s="220">
        <f t="shared" si="0"/>
        <v>13300</v>
      </c>
      <c r="N8" s="220">
        <f t="shared" si="0"/>
        <v>0</v>
      </c>
      <c r="O8" s="234">
        <f t="shared" si="0"/>
        <v>0</v>
      </c>
    </row>
    <row r="9" spans="1:16" s="228" customFormat="1" ht="117" x14ac:dyDescent="0.2">
      <c r="A9" s="221">
        <v>1</v>
      </c>
      <c r="B9" s="252" t="s">
        <v>1286</v>
      </c>
      <c r="C9" s="229" t="s">
        <v>1287</v>
      </c>
      <c r="D9" s="222" t="s">
        <v>1288</v>
      </c>
      <c r="E9" s="223" t="s">
        <v>1289</v>
      </c>
      <c r="F9" s="223" t="s">
        <v>923</v>
      </c>
      <c r="G9" s="223" t="s">
        <v>1103</v>
      </c>
      <c r="H9" s="224" t="s">
        <v>1290</v>
      </c>
      <c r="I9" s="225">
        <v>26600</v>
      </c>
      <c r="J9" s="226">
        <v>0</v>
      </c>
      <c r="K9" s="226">
        <v>0</v>
      </c>
      <c r="L9" s="226">
        <v>13300</v>
      </c>
      <c r="M9" s="226">
        <v>13300</v>
      </c>
      <c r="N9" s="226">
        <v>0</v>
      </c>
      <c r="O9" s="253">
        <f t="shared" ref="O9:O87" si="1">+I9-(SUM(J9:N9))</f>
        <v>0</v>
      </c>
    </row>
    <row r="10" spans="1:16" x14ac:dyDescent="0.45">
      <c r="A10" s="216" t="s">
        <v>269</v>
      </c>
      <c r="B10" s="251"/>
      <c r="C10" s="217"/>
      <c r="D10" s="217"/>
      <c r="E10" s="218"/>
      <c r="F10" s="219"/>
      <c r="G10" s="219"/>
      <c r="H10" s="219"/>
      <c r="I10" s="220">
        <f>SUM(I11:I59)</f>
        <v>10809491</v>
      </c>
      <c r="J10" s="220">
        <f t="shared" ref="J10:O10" si="2">SUM(J11:J59)</f>
        <v>617755.1</v>
      </c>
      <c r="K10" s="220">
        <f t="shared" si="2"/>
        <v>617755.1</v>
      </c>
      <c r="L10" s="220">
        <f t="shared" si="2"/>
        <v>56078.32</v>
      </c>
      <c r="M10" s="220">
        <f t="shared" si="2"/>
        <v>56078.32</v>
      </c>
      <c r="N10" s="220">
        <f t="shared" si="2"/>
        <v>0</v>
      </c>
      <c r="O10" s="220">
        <f t="shared" si="2"/>
        <v>9461824.1600000001</v>
      </c>
    </row>
    <row r="11" spans="1:16" s="228" customFormat="1" ht="97.5" x14ac:dyDescent="0.2">
      <c r="A11" s="221">
        <v>1</v>
      </c>
      <c r="B11" s="252" t="s">
        <v>1291</v>
      </c>
      <c r="C11" s="229" t="s">
        <v>1292</v>
      </c>
      <c r="D11" s="222" t="s">
        <v>1293</v>
      </c>
      <c r="E11" s="223" t="s">
        <v>115</v>
      </c>
      <c r="F11" s="223" t="s">
        <v>117</v>
      </c>
      <c r="G11" s="223" t="s">
        <v>1294</v>
      </c>
      <c r="H11" s="224" t="s">
        <v>545</v>
      </c>
      <c r="I11" s="225">
        <v>1034000</v>
      </c>
      <c r="J11" s="226">
        <v>51700</v>
      </c>
      <c r="K11" s="226">
        <v>51700</v>
      </c>
      <c r="L11" s="226">
        <v>0</v>
      </c>
      <c r="M11" s="226">
        <v>0</v>
      </c>
      <c r="N11" s="233">
        <v>0</v>
      </c>
      <c r="O11" s="253">
        <f t="shared" si="1"/>
        <v>930600</v>
      </c>
    </row>
    <row r="12" spans="1:16" s="228" customFormat="1" ht="97.5" x14ac:dyDescent="0.2">
      <c r="A12" s="221">
        <v>2</v>
      </c>
      <c r="B12" s="252" t="s">
        <v>1295</v>
      </c>
      <c r="C12" s="229" t="s">
        <v>1296</v>
      </c>
      <c r="D12" s="222" t="s">
        <v>1297</v>
      </c>
      <c r="E12" s="223" t="s">
        <v>115</v>
      </c>
      <c r="F12" s="223" t="s">
        <v>117</v>
      </c>
      <c r="G12" s="223" t="s">
        <v>322</v>
      </c>
      <c r="H12" s="224" t="s">
        <v>545</v>
      </c>
      <c r="I12" s="225">
        <v>398000</v>
      </c>
      <c r="J12" s="226">
        <v>19900</v>
      </c>
      <c r="K12" s="226">
        <v>19900</v>
      </c>
      <c r="L12" s="226">
        <v>0</v>
      </c>
      <c r="M12" s="226">
        <v>0</v>
      </c>
      <c r="N12" s="233">
        <v>0</v>
      </c>
      <c r="O12" s="227">
        <f t="shared" si="1"/>
        <v>358200</v>
      </c>
    </row>
    <row r="13" spans="1:16" s="228" customFormat="1" ht="155.25" x14ac:dyDescent="0.2">
      <c r="A13" s="221">
        <v>3</v>
      </c>
      <c r="B13" s="254" t="s">
        <v>1295</v>
      </c>
      <c r="C13" s="249" t="s">
        <v>1298</v>
      </c>
      <c r="D13" s="230" t="s">
        <v>1299</v>
      </c>
      <c r="E13" s="231" t="s">
        <v>1300</v>
      </c>
      <c r="F13" s="231" t="s">
        <v>161</v>
      </c>
      <c r="G13" s="231" t="s">
        <v>1301</v>
      </c>
      <c r="H13" s="232" t="s">
        <v>1302</v>
      </c>
      <c r="I13" s="226">
        <v>54280</v>
      </c>
      <c r="J13" s="226">
        <v>0</v>
      </c>
      <c r="K13" s="226">
        <v>0</v>
      </c>
      <c r="L13" s="226">
        <v>27140</v>
      </c>
      <c r="M13" s="226">
        <v>27140</v>
      </c>
      <c r="N13" s="233">
        <v>0</v>
      </c>
      <c r="O13" s="227">
        <f t="shared" si="1"/>
        <v>0</v>
      </c>
    </row>
    <row r="14" spans="1:16" s="228" customFormat="1" ht="117" x14ac:dyDescent="0.2">
      <c r="A14" s="221">
        <v>4</v>
      </c>
      <c r="B14" s="254" t="s">
        <v>1303</v>
      </c>
      <c r="C14" s="249" t="s">
        <v>1304</v>
      </c>
      <c r="D14" s="230" t="s">
        <v>1305</v>
      </c>
      <c r="E14" s="231" t="s">
        <v>595</v>
      </c>
      <c r="F14" s="231" t="s">
        <v>161</v>
      </c>
      <c r="G14" s="231" t="s">
        <v>596</v>
      </c>
      <c r="H14" s="232" t="s">
        <v>1306</v>
      </c>
      <c r="I14" s="226">
        <v>150000</v>
      </c>
      <c r="J14" s="226">
        <v>7500</v>
      </c>
      <c r="K14" s="226">
        <v>7500</v>
      </c>
      <c r="L14" s="226">
        <v>0</v>
      </c>
      <c r="M14" s="226">
        <v>0</v>
      </c>
      <c r="N14" s="233">
        <v>0</v>
      </c>
      <c r="O14" s="227">
        <f t="shared" si="1"/>
        <v>135000</v>
      </c>
    </row>
    <row r="15" spans="1:16" s="228" customFormat="1" ht="97.5" x14ac:dyDescent="0.2">
      <c r="A15" s="221">
        <v>5</v>
      </c>
      <c r="B15" s="254" t="s">
        <v>1307</v>
      </c>
      <c r="C15" s="249" t="s">
        <v>1308</v>
      </c>
      <c r="D15" s="230" t="s">
        <v>1309</v>
      </c>
      <c r="E15" s="231" t="s">
        <v>115</v>
      </c>
      <c r="F15" s="231" t="s">
        <v>117</v>
      </c>
      <c r="G15" s="231" t="s">
        <v>289</v>
      </c>
      <c r="H15" s="232" t="s">
        <v>545</v>
      </c>
      <c r="I15" s="226">
        <v>89000</v>
      </c>
      <c r="J15" s="226">
        <v>4450</v>
      </c>
      <c r="K15" s="226">
        <v>4450</v>
      </c>
      <c r="L15" s="226">
        <v>0</v>
      </c>
      <c r="M15" s="226">
        <v>0</v>
      </c>
      <c r="N15" s="233">
        <v>0</v>
      </c>
      <c r="O15" s="227">
        <f t="shared" si="1"/>
        <v>80100</v>
      </c>
    </row>
    <row r="16" spans="1:16" s="228" customFormat="1" ht="97.5" x14ac:dyDescent="0.2">
      <c r="A16" s="221">
        <v>6</v>
      </c>
      <c r="B16" s="254" t="s">
        <v>1310</v>
      </c>
      <c r="C16" s="249" t="s">
        <v>1311</v>
      </c>
      <c r="D16" s="230" t="s">
        <v>1312</v>
      </c>
      <c r="E16" s="231" t="s">
        <v>115</v>
      </c>
      <c r="F16" s="231" t="s">
        <v>117</v>
      </c>
      <c r="G16" s="231" t="s">
        <v>1313</v>
      </c>
      <c r="H16" s="232" t="s">
        <v>545</v>
      </c>
      <c r="I16" s="226">
        <v>628000</v>
      </c>
      <c r="J16" s="226">
        <v>31400</v>
      </c>
      <c r="K16" s="226">
        <v>31400</v>
      </c>
      <c r="L16" s="226">
        <v>0</v>
      </c>
      <c r="M16" s="226">
        <v>0</v>
      </c>
      <c r="N16" s="255"/>
      <c r="O16" s="227">
        <f t="shared" si="1"/>
        <v>565200</v>
      </c>
    </row>
    <row r="17" spans="1:15" s="228" customFormat="1" ht="97.5" x14ac:dyDescent="0.2">
      <c r="A17" s="221">
        <v>7</v>
      </c>
      <c r="B17" s="254" t="s">
        <v>1314</v>
      </c>
      <c r="C17" s="249" t="s">
        <v>1315</v>
      </c>
      <c r="D17" s="230" t="s">
        <v>1316</v>
      </c>
      <c r="E17" s="231" t="s">
        <v>115</v>
      </c>
      <c r="F17" s="231" t="s">
        <v>117</v>
      </c>
      <c r="G17" s="231" t="s">
        <v>575</v>
      </c>
      <c r="H17" s="232" t="s">
        <v>545</v>
      </c>
      <c r="I17" s="226">
        <v>341000</v>
      </c>
      <c r="J17" s="226">
        <v>17050</v>
      </c>
      <c r="K17" s="226">
        <v>17050</v>
      </c>
      <c r="L17" s="226">
        <v>0</v>
      </c>
      <c r="M17" s="226">
        <v>0</v>
      </c>
      <c r="N17" s="233">
        <v>0</v>
      </c>
      <c r="O17" s="227">
        <f t="shared" si="1"/>
        <v>306900</v>
      </c>
    </row>
    <row r="18" spans="1:15" s="228" customFormat="1" ht="117" x14ac:dyDescent="0.2">
      <c r="A18" s="221">
        <v>8</v>
      </c>
      <c r="B18" s="254" t="s">
        <v>1317</v>
      </c>
      <c r="C18" s="249" t="s">
        <v>1318</v>
      </c>
      <c r="D18" s="230" t="s">
        <v>1319</v>
      </c>
      <c r="E18" s="231" t="s">
        <v>605</v>
      </c>
      <c r="F18" s="231" t="s">
        <v>360</v>
      </c>
      <c r="G18" s="231" t="s">
        <v>606</v>
      </c>
      <c r="H18" s="232" t="s">
        <v>1320</v>
      </c>
      <c r="I18" s="226">
        <v>209000</v>
      </c>
      <c r="J18" s="226">
        <v>0</v>
      </c>
      <c r="K18" s="226">
        <v>0</v>
      </c>
      <c r="L18" s="226">
        <v>1382</v>
      </c>
      <c r="M18" s="226">
        <v>1382</v>
      </c>
      <c r="N18" s="233">
        <v>0</v>
      </c>
      <c r="O18" s="227">
        <f t="shared" si="1"/>
        <v>206236</v>
      </c>
    </row>
    <row r="19" spans="1:15" s="228" customFormat="1" ht="97.5" x14ac:dyDescent="0.2">
      <c r="A19" s="221">
        <v>9</v>
      </c>
      <c r="B19" s="254" t="s">
        <v>1321</v>
      </c>
      <c r="C19" s="249" t="s">
        <v>1322</v>
      </c>
      <c r="D19" s="230" t="s">
        <v>1323</v>
      </c>
      <c r="E19" s="231" t="s">
        <v>115</v>
      </c>
      <c r="F19" s="231" t="s">
        <v>117</v>
      </c>
      <c r="G19" s="231" t="s">
        <v>345</v>
      </c>
      <c r="H19" s="232" t="s">
        <v>545</v>
      </c>
      <c r="I19" s="226">
        <v>158000</v>
      </c>
      <c r="J19" s="226">
        <v>7900</v>
      </c>
      <c r="K19" s="226">
        <v>7900</v>
      </c>
      <c r="L19" s="226">
        <v>0</v>
      </c>
      <c r="M19" s="226">
        <v>0</v>
      </c>
      <c r="N19" s="233">
        <v>0</v>
      </c>
      <c r="O19" s="227">
        <f t="shared" si="1"/>
        <v>142200</v>
      </c>
    </row>
    <row r="20" spans="1:15" s="228" customFormat="1" ht="97.5" x14ac:dyDescent="0.2">
      <c r="A20" s="221">
        <v>10</v>
      </c>
      <c r="B20" s="254" t="s">
        <v>1321</v>
      </c>
      <c r="C20" s="249" t="s">
        <v>1324</v>
      </c>
      <c r="D20" s="230" t="s">
        <v>1325</v>
      </c>
      <c r="E20" s="231" t="s">
        <v>115</v>
      </c>
      <c r="F20" s="231" t="s">
        <v>117</v>
      </c>
      <c r="G20" s="231" t="s">
        <v>303</v>
      </c>
      <c r="H20" s="232" t="s">
        <v>946</v>
      </c>
      <c r="I20" s="226">
        <v>2250</v>
      </c>
      <c r="J20" s="226">
        <v>0</v>
      </c>
      <c r="K20" s="226">
        <v>0</v>
      </c>
      <c r="L20" s="226">
        <v>0</v>
      </c>
      <c r="M20" s="226">
        <v>0</v>
      </c>
      <c r="N20" s="145" t="s">
        <v>311</v>
      </c>
      <c r="O20" s="227">
        <f t="shared" si="1"/>
        <v>2250</v>
      </c>
    </row>
    <row r="21" spans="1:15" s="228" customFormat="1" ht="97.5" x14ac:dyDescent="0.2">
      <c r="A21" s="221">
        <v>11</v>
      </c>
      <c r="B21" s="254" t="s">
        <v>1321</v>
      </c>
      <c r="C21" s="249" t="s">
        <v>1326</v>
      </c>
      <c r="D21" s="230" t="s">
        <v>1327</v>
      </c>
      <c r="E21" s="231" t="s">
        <v>115</v>
      </c>
      <c r="F21" s="231" t="s">
        <v>117</v>
      </c>
      <c r="G21" s="231" t="s">
        <v>345</v>
      </c>
      <c r="H21" s="232" t="s">
        <v>545</v>
      </c>
      <c r="I21" s="226">
        <v>145000</v>
      </c>
      <c r="J21" s="226">
        <v>7250</v>
      </c>
      <c r="K21" s="226">
        <v>7250</v>
      </c>
      <c r="L21" s="226">
        <v>0</v>
      </c>
      <c r="M21" s="226">
        <v>0</v>
      </c>
      <c r="N21" s="233">
        <v>0</v>
      </c>
      <c r="O21" s="227">
        <f t="shared" si="1"/>
        <v>130500</v>
      </c>
    </row>
    <row r="22" spans="1:15" s="228" customFormat="1" ht="117" x14ac:dyDescent="0.2">
      <c r="A22" s="221">
        <v>12</v>
      </c>
      <c r="B22" s="254" t="s">
        <v>1321</v>
      </c>
      <c r="C22" s="230" t="s">
        <v>1328</v>
      </c>
      <c r="D22" s="230" t="s">
        <v>1329</v>
      </c>
      <c r="E22" s="231" t="s">
        <v>302</v>
      </c>
      <c r="F22" s="231" t="s">
        <v>117</v>
      </c>
      <c r="G22" s="231" t="s">
        <v>326</v>
      </c>
      <c r="H22" s="232" t="s">
        <v>1330</v>
      </c>
      <c r="I22" s="226">
        <v>60000</v>
      </c>
      <c r="J22" s="226">
        <v>3000</v>
      </c>
      <c r="K22" s="226">
        <v>3000</v>
      </c>
      <c r="L22" s="226">
        <v>0</v>
      </c>
      <c r="M22" s="226">
        <v>0</v>
      </c>
      <c r="N22" s="233">
        <v>0</v>
      </c>
      <c r="O22" s="227">
        <f t="shared" si="1"/>
        <v>54000</v>
      </c>
    </row>
    <row r="23" spans="1:15" s="228" customFormat="1" ht="232.5" x14ac:dyDescent="0.2">
      <c r="A23" s="221">
        <v>13</v>
      </c>
      <c r="B23" s="254" t="s">
        <v>1331</v>
      </c>
      <c r="C23" s="249" t="s">
        <v>1332</v>
      </c>
      <c r="D23" s="230" t="s">
        <v>1333</v>
      </c>
      <c r="E23" s="231" t="s">
        <v>1334</v>
      </c>
      <c r="F23" s="231" t="s">
        <v>1335</v>
      </c>
      <c r="G23" s="231" t="s">
        <v>361</v>
      </c>
      <c r="H23" s="232" t="s">
        <v>1336</v>
      </c>
      <c r="I23" s="226">
        <v>29000</v>
      </c>
      <c r="J23" s="226">
        <v>14500</v>
      </c>
      <c r="K23" s="226">
        <v>14500</v>
      </c>
      <c r="L23" s="226">
        <v>0</v>
      </c>
      <c r="M23" s="226">
        <v>0</v>
      </c>
      <c r="N23" s="233">
        <v>0</v>
      </c>
      <c r="O23" s="227">
        <f t="shared" si="1"/>
        <v>0</v>
      </c>
    </row>
    <row r="24" spans="1:15" s="228" customFormat="1" ht="97.5" x14ac:dyDescent="0.2">
      <c r="A24" s="221">
        <v>14</v>
      </c>
      <c r="B24" s="254" t="s">
        <v>1331</v>
      </c>
      <c r="C24" s="249" t="s">
        <v>1337</v>
      </c>
      <c r="D24" s="230" t="s">
        <v>1338</v>
      </c>
      <c r="E24" s="231" t="s">
        <v>115</v>
      </c>
      <c r="F24" s="231" t="s">
        <v>117</v>
      </c>
      <c r="G24" s="231" t="s">
        <v>322</v>
      </c>
      <c r="H24" s="232" t="s">
        <v>545</v>
      </c>
      <c r="I24" s="226">
        <v>377000</v>
      </c>
      <c r="J24" s="226">
        <v>18850</v>
      </c>
      <c r="K24" s="226">
        <v>18850</v>
      </c>
      <c r="L24" s="226">
        <v>0</v>
      </c>
      <c r="M24" s="226">
        <v>0</v>
      </c>
      <c r="N24" s="233">
        <v>0</v>
      </c>
      <c r="O24" s="227">
        <f t="shared" si="1"/>
        <v>339300</v>
      </c>
    </row>
    <row r="25" spans="1:15" s="228" customFormat="1" ht="135.75" x14ac:dyDescent="0.2">
      <c r="A25" s="221">
        <v>15</v>
      </c>
      <c r="B25" s="254" t="s">
        <v>1339</v>
      </c>
      <c r="C25" s="249" t="s">
        <v>1340</v>
      </c>
      <c r="D25" s="230" t="s">
        <v>1341</v>
      </c>
      <c r="E25" s="231" t="s">
        <v>1342</v>
      </c>
      <c r="F25" s="231" t="s">
        <v>161</v>
      </c>
      <c r="G25" s="231" t="s">
        <v>970</v>
      </c>
      <c r="H25" s="232" t="s">
        <v>1343</v>
      </c>
      <c r="I25" s="226">
        <v>79092</v>
      </c>
      <c r="J25" s="226">
        <v>3954.6</v>
      </c>
      <c r="K25" s="226">
        <v>3954.6</v>
      </c>
      <c r="L25" s="226">
        <v>0</v>
      </c>
      <c r="M25" s="226">
        <v>0</v>
      </c>
      <c r="N25" s="233">
        <v>0</v>
      </c>
      <c r="O25" s="227">
        <f t="shared" si="1"/>
        <v>71182.8</v>
      </c>
    </row>
    <row r="26" spans="1:15" s="228" customFormat="1" ht="97.5" x14ac:dyDescent="0.2">
      <c r="A26" s="221">
        <v>16</v>
      </c>
      <c r="B26" s="254" t="s">
        <v>1344</v>
      </c>
      <c r="C26" s="249" t="s">
        <v>1345</v>
      </c>
      <c r="D26" s="230" t="s">
        <v>1346</v>
      </c>
      <c r="E26" s="231" t="s">
        <v>115</v>
      </c>
      <c r="F26" s="231" t="s">
        <v>117</v>
      </c>
      <c r="G26" s="231" t="s">
        <v>303</v>
      </c>
      <c r="H26" s="232" t="s">
        <v>946</v>
      </c>
      <c r="I26" s="226">
        <v>1850</v>
      </c>
      <c r="J26" s="226"/>
      <c r="K26" s="226"/>
      <c r="L26" s="226"/>
      <c r="M26" s="226"/>
      <c r="N26" s="145" t="s">
        <v>311</v>
      </c>
      <c r="O26" s="227">
        <f t="shared" si="1"/>
        <v>1850</v>
      </c>
    </row>
    <row r="27" spans="1:15" s="228" customFormat="1" ht="97.5" x14ac:dyDescent="0.2">
      <c r="A27" s="221">
        <v>17</v>
      </c>
      <c r="B27" s="254" t="s">
        <v>1344</v>
      </c>
      <c r="C27" s="249" t="s">
        <v>1347</v>
      </c>
      <c r="D27" s="230" t="s">
        <v>1348</v>
      </c>
      <c r="E27" s="231" t="s">
        <v>115</v>
      </c>
      <c r="F27" s="231" t="s">
        <v>117</v>
      </c>
      <c r="G27" s="231" t="s">
        <v>558</v>
      </c>
      <c r="H27" s="232" t="s">
        <v>545</v>
      </c>
      <c r="I27" s="226">
        <v>333000</v>
      </c>
      <c r="J27" s="226">
        <v>16650</v>
      </c>
      <c r="K27" s="226">
        <v>16650</v>
      </c>
      <c r="L27" s="226"/>
      <c r="M27" s="226"/>
      <c r="N27" s="233"/>
      <c r="O27" s="227">
        <f t="shared" si="1"/>
        <v>299700</v>
      </c>
    </row>
    <row r="28" spans="1:15" s="228" customFormat="1" ht="97.5" x14ac:dyDescent="0.2">
      <c r="A28" s="221">
        <v>18</v>
      </c>
      <c r="B28" s="254" t="s">
        <v>1349</v>
      </c>
      <c r="C28" s="249" t="s">
        <v>1350</v>
      </c>
      <c r="D28" s="230" t="s">
        <v>1351</v>
      </c>
      <c r="E28" s="231" t="s">
        <v>115</v>
      </c>
      <c r="F28" s="231" t="s">
        <v>117</v>
      </c>
      <c r="G28" s="231" t="s">
        <v>303</v>
      </c>
      <c r="H28" s="232" t="s">
        <v>545</v>
      </c>
      <c r="I28" s="226">
        <v>29000</v>
      </c>
      <c r="J28" s="226">
        <v>1450</v>
      </c>
      <c r="K28" s="226">
        <v>1450</v>
      </c>
      <c r="L28" s="226"/>
      <c r="M28" s="226"/>
      <c r="N28" s="233"/>
      <c r="O28" s="227">
        <f t="shared" si="1"/>
        <v>26100</v>
      </c>
    </row>
    <row r="29" spans="1:15" s="228" customFormat="1" ht="136.5" x14ac:dyDescent="0.2">
      <c r="A29" s="221">
        <v>19</v>
      </c>
      <c r="B29" s="254" t="s">
        <v>1352</v>
      </c>
      <c r="C29" s="249" t="s">
        <v>1353</v>
      </c>
      <c r="D29" s="230" t="s">
        <v>1354</v>
      </c>
      <c r="E29" s="231" t="s">
        <v>199</v>
      </c>
      <c r="F29" s="231" t="s">
        <v>19</v>
      </c>
      <c r="G29" s="231" t="s">
        <v>1355</v>
      </c>
      <c r="H29" s="232" t="s">
        <v>1356</v>
      </c>
      <c r="I29" s="226">
        <v>240000</v>
      </c>
      <c r="J29" s="226">
        <v>12000</v>
      </c>
      <c r="K29" s="226">
        <v>12000</v>
      </c>
      <c r="L29" s="226"/>
      <c r="M29" s="226"/>
      <c r="N29" s="233"/>
      <c r="O29" s="227">
        <f t="shared" si="1"/>
        <v>216000</v>
      </c>
    </row>
    <row r="30" spans="1:15" s="228" customFormat="1" ht="97.5" x14ac:dyDescent="0.2">
      <c r="A30" s="221">
        <v>20</v>
      </c>
      <c r="B30" s="254" t="s">
        <v>1357</v>
      </c>
      <c r="C30" s="249" t="s">
        <v>1358</v>
      </c>
      <c r="D30" s="230" t="s">
        <v>1359</v>
      </c>
      <c r="E30" s="231" t="s">
        <v>115</v>
      </c>
      <c r="F30" s="231" t="s">
        <v>117</v>
      </c>
      <c r="G30" s="231" t="s">
        <v>318</v>
      </c>
      <c r="H30" s="232" t="s">
        <v>946</v>
      </c>
      <c r="I30" s="226">
        <v>1250</v>
      </c>
      <c r="J30" s="226"/>
      <c r="K30" s="226"/>
      <c r="L30" s="226"/>
      <c r="M30" s="226"/>
      <c r="N30" s="145" t="s">
        <v>311</v>
      </c>
      <c r="O30" s="227">
        <f t="shared" si="1"/>
        <v>1250</v>
      </c>
    </row>
    <row r="31" spans="1:15" s="228" customFormat="1" ht="136.5" x14ac:dyDescent="0.2">
      <c r="A31" s="221">
        <v>21</v>
      </c>
      <c r="B31" s="254" t="s">
        <v>1360</v>
      </c>
      <c r="C31" s="249" t="s">
        <v>1361</v>
      </c>
      <c r="D31" s="230" t="s">
        <v>1362</v>
      </c>
      <c r="E31" s="231" t="s">
        <v>605</v>
      </c>
      <c r="F31" s="231" t="s">
        <v>360</v>
      </c>
      <c r="G31" s="231" t="s">
        <v>636</v>
      </c>
      <c r="H31" s="232" t="s">
        <v>1363</v>
      </c>
      <c r="I31" s="226">
        <v>54000</v>
      </c>
      <c r="J31" s="226">
        <v>2700</v>
      </c>
      <c r="K31" s="226">
        <v>2700</v>
      </c>
      <c r="L31" s="226">
        <v>0</v>
      </c>
      <c r="M31" s="226">
        <v>0</v>
      </c>
      <c r="N31" s="226">
        <v>0</v>
      </c>
      <c r="O31" s="227">
        <f t="shared" si="1"/>
        <v>48600</v>
      </c>
    </row>
    <row r="32" spans="1:15" s="228" customFormat="1" ht="136.5" x14ac:dyDescent="0.2">
      <c r="A32" s="221">
        <v>22</v>
      </c>
      <c r="B32" s="254" t="s">
        <v>1360</v>
      </c>
      <c r="C32" s="249" t="s">
        <v>1364</v>
      </c>
      <c r="D32" s="230" t="s">
        <v>1362</v>
      </c>
      <c r="E32" s="231" t="s">
        <v>605</v>
      </c>
      <c r="F32" s="231" t="s">
        <v>360</v>
      </c>
      <c r="G32" s="231" t="s">
        <v>636</v>
      </c>
      <c r="H32" s="232" t="s">
        <v>1365</v>
      </c>
      <c r="I32" s="226">
        <v>90000</v>
      </c>
      <c r="J32" s="226">
        <v>4500</v>
      </c>
      <c r="K32" s="226">
        <v>4500</v>
      </c>
      <c r="L32" s="226">
        <v>0</v>
      </c>
      <c r="M32" s="226">
        <v>0</v>
      </c>
      <c r="N32" s="226">
        <v>0</v>
      </c>
      <c r="O32" s="227">
        <f t="shared" si="1"/>
        <v>81000</v>
      </c>
    </row>
    <row r="33" spans="1:15" s="228" customFormat="1" ht="97.5" x14ac:dyDescent="0.2">
      <c r="A33" s="221">
        <v>23</v>
      </c>
      <c r="B33" s="254" t="s">
        <v>1366</v>
      </c>
      <c r="C33" s="249" t="s">
        <v>1367</v>
      </c>
      <c r="D33" s="230" t="s">
        <v>1368</v>
      </c>
      <c r="E33" s="231" t="s">
        <v>115</v>
      </c>
      <c r="F33" s="231" t="s">
        <v>117</v>
      </c>
      <c r="G33" s="231" t="s">
        <v>441</v>
      </c>
      <c r="H33" s="232" t="s">
        <v>901</v>
      </c>
      <c r="I33" s="226">
        <v>64000</v>
      </c>
      <c r="J33" s="226">
        <v>3200</v>
      </c>
      <c r="K33" s="226">
        <v>3200</v>
      </c>
      <c r="L33" s="226">
        <v>0</v>
      </c>
      <c r="M33" s="226">
        <v>0</v>
      </c>
      <c r="N33" s="226">
        <v>0</v>
      </c>
      <c r="O33" s="227">
        <f t="shared" si="1"/>
        <v>57600</v>
      </c>
    </row>
    <row r="34" spans="1:15" s="228" customFormat="1" ht="97.5" x14ac:dyDescent="0.2">
      <c r="A34" s="221">
        <v>24</v>
      </c>
      <c r="B34" s="254">
        <v>242166</v>
      </c>
      <c r="C34" s="249" t="s">
        <v>1369</v>
      </c>
      <c r="D34" s="230" t="s">
        <v>1370</v>
      </c>
      <c r="E34" s="231" t="s">
        <v>115</v>
      </c>
      <c r="F34" s="231" t="s">
        <v>117</v>
      </c>
      <c r="G34" s="231" t="s">
        <v>318</v>
      </c>
      <c r="H34" s="232" t="s">
        <v>901</v>
      </c>
      <c r="I34" s="226">
        <v>25000</v>
      </c>
      <c r="J34" s="226">
        <v>1250</v>
      </c>
      <c r="K34" s="226">
        <v>1250</v>
      </c>
      <c r="L34" s="226">
        <v>0</v>
      </c>
      <c r="M34" s="226">
        <v>0</v>
      </c>
      <c r="N34" s="226">
        <v>0</v>
      </c>
      <c r="O34" s="227">
        <f t="shared" si="1"/>
        <v>22500</v>
      </c>
    </row>
    <row r="35" spans="1:15" s="228" customFormat="1" ht="116.25" x14ac:dyDescent="0.2">
      <c r="A35" s="221">
        <v>25</v>
      </c>
      <c r="B35" s="254" t="s">
        <v>1371</v>
      </c>
      <c r="C35" s="249" t="s">
        <v>1372</v>
      </c>
      <c r="D35" s="230" t="s">
        <v>1373</v>
      </c>
      <c r="E35" s="231" t="s">
        <v>1018</v>
      </c>
      <c r="F35" s="231" t="s">
        <v>161</v>
      </c>
      <c r="G35" s="231" t="s">
        <v>1019</v>
      </c>
      <c r="H35" s="232" t="s">
        <v>1374</v>
      </c>
      <c r="I35" s="226">
        <v>353760</v>
      </c>
      <c r="J35" s="226">
        <v>17688</v>
      </c>
      <c r="K35" s="226">
        <v>17688</v>
      </c>
      <c r="L35" s="226">
        <v>0</v>
      </c>
      <c r="M35" s="226">
        <v>0</v>
      </c>
      <c r="N35" s="226">
        <v>0</v>
      </c>
      <c r="O35" s="227">
        <f t="shared" si="1"/>
        <v>318384</v>
      </c>
    </row>
    <row r="36" spans="1:15" s="228" customFormat="1" ht="135.75" x14ac:dyDescent="0.2">
      <c r="A36" s="221">
        <v>26</v>
      </c>
      <c r="B36" s="254" t="s">
        <v>1371</v>
      </c>
      <c r="C36" s="249" t="s">
        <v>1375</v>
      </c>
      <c r="D36" s="230" t="s">
        <v>1376</v>
      </c>
      <c r="E36" s="231" t="s">
        <v>1018</v>
      </c>
      <c r="F36" s="231" t="s">
        <v>161</v>
      </c>
      <c r="G36" s="231" t="s">
        <v>1377</v>
      </c>
      <c r="H36" s="232" t="s">
        <v>1378</v>
      </c>
      <c r="I36" s="226">
        <v>52360</v>
      </c>
      <c r="J36" s="226">
        <v>2618</v>
      </c>
      <c r="K36" s="226">
        <v>2618</v>
      </c>
      <c r="L36" s="226">
        <v>0</v>
      </c>
      <c r="M36" s="226">
        <v>0</v>
      </c>
      <c r="N36" s="226">
        <v>0</v>
      </c>
      <c r="O36" s="227">
        <f t="shared" si="1"/>
        <v>47124</v>
      </c>
    </row>
    <row r="37" spans="1:15" s="228" customFormat="1" ht="96.75" x14ac:dyDescent="0.2">
      <c r="A37" s="221">
        <v>27</v>
      </c>
      <c r="B37" s="254" t="s">
        <v>1379</v>
      </c>
      <c r="C37" s="249" t="s">
        <v>1380</v>
      </c>
      <c r="D37" s="230" t="s">
        <v>1381</v>
      </c>
      <c r="E37" s="231" t="s">
        <v>1382</v>
      </c>
      <c r="F37" s="231" t="s">
        <v>117</v>
      </c>
      <c r="G37" s="231" t="s">
        <v>1383</v>
      </c>
      <c r="H37" s="232" t="s">
        <v>1384</v>
      </c>
      <c r="I37" s="226">
        <v>15000</v>
      </c>
      <c r="J37" s="226">
        <v>750</v>
      </c>
      <c r="K37" s="226">
        <v>750</v>
      </c>
      <c r="L37" s="226">
        <v>0</v>
      </c>
      <c r="M37" s="226">
        <v>0</v>
      </c>
      <c r="N37" s="226">
        <v>0</v>
      </c>
      <c r="O37" s="227">
        <f t="shared" si="1"/>
        <v>13500</v>
      </c>
    </row>
    <row r="38" spans="1:15" s="228" customFormat="1" ht="97.5" x14ac:dyDescent="0.2">
      <c r="A38" s="221">
        <v>28</v>
      </c>
      <c r="B38" s="254" t="s">
        <v>1385</v>
      </c>
      <c r="C38" s="249" t="s">
        <v>1386</v>
      </c>
      <c r="D38" s="230" t="s">
        <v>1387</v>
      </c>
      <c r="E38" s="231" t="s">
        <v>115</v>
      </c>
      <c r="F38" s="231" t="s">
        <v>117</v>
      </c>
      <c r="G38" s="231" t="s">
        <v>318</v>
      </c>
      <c r="H38" s="232" t="s">
        <v>901</v>
      </c>
      <c r="I38" s="226">
        <v>30000</v>
      </c>
      <c r="J38" s="226">
        <v>1500</v>
      </c>
      <c r="K38" s="226">
        <v>1500</v>
      </c>
      <c r="L38" s="226">
        <v>0</v>
      </c>
      <c r="M38" s="226">
        <v>0</v>
      </c>
      <c r="N38" s="226">
        <v>0</v>
      </c>
      <c r="O38" s="227">
        <f t="shared" si="1"/>
        <v>27000</v>
      </c>
    </row>
    <row r="39" spans="1:15" s="228" customFormat="1" ht="117" x14ac:dyDescent="0.2">
      <c r="A39" s="221">
        <v>29</v>
      </c>
      <c r="B39" s="254" t="s">
        <v>1388</v>
      </c>
      <c r="C39" s="249" t="s">
        <v>1389</v>
      </c>
      <c r="D39" s="230" t="s">
        <v>1390</v>
      </c>
      <c r="E39" s="231" t="s">
        <v>302</v>
      </c>
      <c r="F39" s="231" t="s">
        <v>117</v>
      </c>
      <c r="G39" s="231" t="s">
        <v>318</v>
      </c>
      <c r="H39" s="232" t="s">
        <v>1391</v>
      </c>
      <c r="I39" s="226">
        <v>20000</v>
      </c>
      <c r="J39" s="226">
        <v>1000</v>
      </c>
      <c r="K39" s="226">
        <v>1000</v>
      </c>
      <c r="L39" s="226">
        <v>0</v>
      </c>
      <c r="M39" s="226">
        <v>0</v>
      </c>
      <c r="N39" s="226">
        <v>0</v>
      </c>
      <c r="O39" s="227">
        <f t="shared" si="1"/>
        <v>18000</v>
      </c>
    </row>
    <row r="40" spans="1:15" s="228" customFormat="1" ht="78" x14ac:dyDescent="0.2">
      <c r="A40" s="221">
        <v>30</v>
      </c>
      <c r="B40" s="254" t="s">
        <v>1392</v>
      </c>
      <c r="C40" s="249" t="s">
        <v>1393</v>
      </c>
      <c r="D40" s="230" t="s">
        <v>1394</v>
      </c>
      <c r="E40" s="231" t="s">
        <v>897</v>
      </c>
      <c r="F40" s="231" t="s">
        <v>117</v>
      </c>
      <c r="G40" s="231" t="s">
        <v>898</v>
      </c>
      <c r="H40" s="232" t="s">
        <v>1395</v>
      </c>
      <c r="I40" s="226">
        <v>326700</v>
      </c>
      <c r="J40" s="226">
        <v>16335</v>
      </c>
      <c r="K40" s="226">
        <v>16335</v>
      </c>
      <c r="L40" s="226">
        <v>0</v>
      </c>
      <c r="M40" s="226">
        <v>0</v>
      </c>
      <c r="N40" s="226">
        <v>0</v>
      </c>
      <c r="O40" s="227">
        <f t="shared" si="1"/>
        <v>294030</v>
      </c>
    </row>
    <row r="41" spans="1:15" s="228" customFormat="1" ht="116.25" x14ac:dyDescent="0.2">
      <c r="A41" s="221">
        <v>31</v>
      </c>
      <c r="B41" s="254" t="s">
        <v>1396</v>
      </c>
      <c r="C41" s="230" t="s">
        <v>1397</v>
      </c>
      <c r="D41" s="230" t="s">
        <v>1398</v>
      </c>
      <c r="E41" s="231" t="s">
        <v>595</v>
      </c>
      <c r="F41" s="231" t="s">
        <v>161</v>
      </c>
      <c r="G41" s="231" t="s">
        <v>1399</v>
      </c>
      <c r="H41" s="232" t="s">
        <v>1400</v>
      </c>
      <c r="I41" s="226">
        <v>150000</v>
      </c>
      <c r="J41" s="226">
        <v>7500</v>
      </c>
      <c r="K41" s="226">
        <v>7500</v>
      </c>
      <c r="L41" s="226">
        <v>0</v>
      </c>
      <c r="M41" s="226">
        <v>0</v>
      </c>
      <c r="N41" s="226">
        <v>0</v>
      </c>
      <c r="O41" s="227">
        <f t="shared" si="1"/>
        <v>135000</v>
      </c>
    </row>
    <row r="42" spans="1:15" s="228" customFormat="1" ht="135.75" x14ac:dyDescent="0.2">
      <c r="A42" s="221">
        <v>32</v>
      </c>
      <c r="B42" s="254" t="s">
        <v>1401</v>
      </c>
      <c r="C42" s="230" t="s">
        <v>1402</v>
      </c>
      <c r="D42" s="230" t="s">
        <v>1403</v>
      </c>
      <c r="E42" s="231" t="s">
        <v>199</v>
      </c>
      <c r="F42" s="231" t="s">
        <v>19</v>
      </c>
      <c r="G42" s="231" t="s">
        <v>1355</v>
      </c>
      <c r="H42" s="232" t="s">
        <v>1404</v>
      </c>
      <c r="I42" s="226">
        <v>60000</v>
      </c>
      <c r="J42" s="226">
        <v>3000</v>
      </c>
      <c r="K42" s="226">
        <v>3000</v>
      </c>
      <c r="L42" s="226">
        <v>0</v>
      </c>
      <c r="M42" s="226">
        <v>0</v>
      </c>
      <c r="N42" s="226">
        <v>0</v>
      </c>
      <c r="O42" s="227">
        <f t="shared" si="1"/>
        <v>54000</v>
      </c>
    </row>
    <row r="43" spans="1:15" s="228" customFormat="1" ht="96.75" x14ac:dyDescent="0.2">
      <c r="A43" s="221">
        <v>33</v>
      </c>
      <c r="B43" s="254" t="s">
        <v>1405</v>
      </c>
      <c r="C43" s="230" t="s">
        <v>1406</v>
      </c>
      <c r="D43" s="230" t="s">
        <v>1407</v>
      </c>
      <c r="E43" s="231" t="s">
        <v>605</v>
      </c>
      <c r="F43" s="231" t="s">
        <v>360</v>
      </c>
      <c r="G43" s="231" t="s">
        <v>606</v>
      </c>
      <c r="H43" s="232" t="s">
        <v>1408</v>
      </c>
      <c r="I43" s="226">
        <v>55000</v>
      </c>
      <c r="J43" s="226">
        <v>0</v>
      </c>
      <c r="K43" s="226">
        <v>0</v>
      </c>
      <c r="L43" s="226">
        <f>0.64/2</f>
        <v>0.32</v>
      </c>
      <c r="M43" s="226">
        <f>0.64/2</f>
        <v>0.32</v>
      </c>
      <c r="N43" s="226">
        <v>0</v>
      </c>
      <c r="O43" s="227">
        <f t="shared" si="1"/>
        <v>54999.360000000001</v>
      </c>
    </row>
    <row r="44" spans="1:15" s="228" customFormat="1" ht="252.75" x14ac:dyDescent="0.2">
      <c r="A44" s="221">
        <v>34</v>
      </c>
      <c r="B44" s="254" t="s">
        <v>1409</v>
      </c>
      <c r="C44" s="230" t="s">
        <v>1410</v>
      </c>
      <c r="D44" s="230" t="s">
        <v>1411</v>
      </c>
      <c r="E44" s="231" t="s">
        <v>199</v>
      </c>
      <c r="F44" s="231" t="s">
        <v>19</v>
      </c>
      <c r="G44" s="231" t="s">
        <v>1412</v>
      </c>
      <c r="H44" s="232" t="s">
        <v>1413</v>
      </c>
      <c r="I44" s="226">
        <v>250000</v>
      </c>
      <c r="J44" s="226">
        <v>12500</v>
      </c>
      <c r="K44" s="226">
        <v>12500</v>
      </c>
      <c r="L44" s="226">
        <v>0</v>
      </c>
      <c r="M44" s="226">
        <v>0</v>
      </c>
      <c r="N44" s="226">
        <v>0</v>
      </c>
      <c r="O44" s="227">
        <f t="shared" si="1"/>
        <v>225000</v>
      </c>
    </row>
    <row r="45" spans="1:15" s="228" customFormat="1" ht="78" x14ac:dyDescent="0.2">
      <c r="A45" s="221">
        <v>35</v>
      </c>
      <c r="B45" s="254" t="s">
        <v>1414</v>
      </c>
      <c r="C45" s="230" t="s">
        <v>1415</v>
      </c>
      <c r="D45" s="230" t="s">
        <v>1416</v>
      </c>
      <c r="E45" s="231" t="s">
        <v>1417</v>
      </c>
      <c r="F45" s="231" t="s">
        <v>117</v>
      </c>
      <c r="G45" s="231" t="s">
        <v>1103</v>
      </c>
      <c r="H45" s="232" t="s">
        <v>1418</v>
      </c>
      <c r="I45" s="226">
        <v>55112</v>
      </c>
      <c r="J45" s="226">
        <v>0</v>
      </c>
      <c r="K45" s="226">
        <v>0</v>
      </c>
      <c r="L45" s="226">
        <v>27556</v>
      </c>
      <c r="M45" s="226">
        <v>27556</v>
      </c>
      <c r="N45" s="226">
        <v>0</v>
      </c>
      <c r="O45" s="227">
        <f t="shared" ref="O45:O58" si="3">+I45-(SUM(J45:N45))</f>
        <v>0</v>
      </c>
    </row>
    <row r="46" spans="1:15" s="228" customFormat="1" ht="155.25" x14ac:dyDescent="0.2">
      <c r="A46" s="221">
        <v>36</v>
      </c>
      <c r="B46" s="254" t="s">
        <v>1419</v>
      </c>
      <c r="C46" s="230" t="s">
        <v>1420</v>
      </c>
      <c r="D46" s="230" t="s">
        <v>1421</v>
      </c>
      <c r="E46" s="231" t="s">
        <v>1422</v>
      </c>
      <c r="F46" s="231" t="s">
        <v>117</v>
      </c>
      <c r="G46" s="231" t="s">
        <v>1423</v>
      </c>
      <c r="H46" s="232" t="s">
        <v>1424</v>
      </c>
      <c r="I46" s="226">
        <v>10000</v>
      </c>
      <c r="J46" s="226">
        <v>5000</v>
      </c>
      <c r="K46" s="226">
        <v>5000</v>
      </c>
      <c r="L46" s="226">
        <v>0</v>
      </c>
      <c r="M46" s="226">
        <v>0</v>
      </c>
      <c r="N46" s="226">
        <v>0</v>
      </c>
      <c r="O46" s="227">
        <f t="shared" si="3"/>
        <v>0</v>
      </c>
    </row>
    <row r="47" spans="1:15" s="228" customFormat="1" ht="234" x14ac:dyDescent="0.2">
      <c r="A47" s="221">
        <v>37</v>
      </c>
      <c r="B47" s="254" t="s">
        <v>1425</v>
      </c>
      <c r="C47" s="230" t="s">
        <v>1426</v>
      </c>
      <c r="D47" s="230" t="s">
        <v>1427</v>
      </c>
      <c r="E47" s="231" t="s">
        <v>199</v>
      </c>
      <c r="F47" s="231" t="s">
        <v>19</v>
      </c>
      <c r="G47" s="231" t="s">
        <v>1412</v>
      </c>
      <c r="H47" s="232" t="s">
        <v>1428</v>
      </c>
      <c r="I47" s="226">
        <v>300000</v>
      </c>
      <c r="J47" s="226">
        <v>15000</v>
      </c>
      <c r="K47" s="226">
        <v>15000</v>
      </c>
      <c r="L47" s="226">
        <v>0</v>
      </c>
      <c r="M47" s="226">
        <v>0</v>
      </c>
      <c r="N47" s="226">
        <v>0</v>
      </c>
      <c r="O47" s="227">
        <f t="shared" si="3"/>
        <v>270000</v>
      </c>
    </row>
    <row r="48" spans="1:15" s="228" customFormat="1" ht="97.5" x14ac:dyDescent="0.2">
      <c r="A48" s="221">
        <v>38</v>
      </c>
      <c r="B48" s="254" t="s">
        <v>1429</v>
      </c>
      <c r="C48" s="230" t="s">
        <v>1430</v>
      </c>
      <c r="D48" s="230" t="s">
        <v>1431</v>
      </c>
      <c r="E48" s="231" t="s">
        <v>335</v>
      </c>
      <c r="F48" s="231" t="s">
        <v>19</v>
      </c>
      <c r="G48" s="231" t="s">
        <v>1432</v>
      </c>
      <c r="H48" s="232" t="s">
        <v>1433</v>
      </c>
      <c r="I48" s="226">
        <v>124812</v>
      </c>
      <c r="J48" s="226">
        <f>124812/2</f>
        <v>62406</v>
      </c>
      <c r="K48" s="226">
        <v>62406</v>
      </c>
      <c r="L48" s="226"/>
      <c r="M48" s="226"/>
      <c r="N48" s="226"/>
      <c r="O48" s="227">
        <f t="shared" si="3"/>
        <v>0</v>
      </c>
    </row>
    <row r="49" spans="1:15" s="228" customFormat="1" ht="97.5" x14ac:dyDescent="0.2">
      <c r="A49" s="221">
        <v>39</v>
      </c>
      <c r="B49" s="254" t="s">
        <v>1434</v>
      </c>
      <c r="C49" s="230" t="s">
        <v>1435</v>
      </c>
      <c r="D49" s="230" t="s">
        <v>1436</v>
      </c>
      <c r="E49" s="231" t="s">
        <v>115</v>
      </c>
      <c r="F49" s="231" t="s">
        <v>117</v>
      </c>
      <c r="G49" s="231" t="s">
        <v>289</v>
      </c>
      <c r="H49" s="232" t="s">
        <v>901</v>
      </c>
      <c r="I49" s="226">
        <v>94000</v>
      </c>
      <c r="J49" s="226">
        <v>4700</v>
      </c>
      <c r="K49" s="226">
        <v>4700</v>
      </c>
      <c r="L49" s="226"/>
      <c r="M49" s="226"/>
      <c r="N49" s="226"/>
      <c r="O49" s="227">
        <f t="shared" si="3"/>
        <v>84600</v>
      </c>
    </row>
    <row r="50" spans="1:15" s="228" customFormat="1" ht="97.5" x14ac:dyDescent="0.2">
      <c r="A50" s="221">
        <v>40</v>
      </c>
      <c r="B50" s="254" t="s">
        <v>1437</v>
      </c>
      <c r="C50" s="230" t="s">
        <v>1438</v>
      </c>
      <c r="D50" s="230" t="s">
        <v>1439</v>
      </c>
      <c r="E50" s="231" t="s">
        <v>115</v>
      </c>
      <c r="F50" s="231" t="s">
        <v>117</v>
      </c>
      <c r="G50" s="231" t="s">
        <v>318</v>
      </c>
      <c r="H50" s="232" t="s">
        <v>901</v>
      </c>
      <c r="I50" s="226">
        <v>25000</v>
      </c>
      <c r="J50" s="226">
        <v>1250</v>
      </c>
      <c r="K50" s="226">
        <v>1250</v>
      </c>
      <c r="L50" s="226"/>
      <c r="M50" s="226"/>
      <c r="N50" s="226"/>
      <c r="O50" s="227">
        <f t="shared" si="3"/>
        <v>22500</v>
      </c>
    </row>
    <row r="51" spans="1:15" s="228" customFormat="1" ht="97.5" x14ac:dyDescent="0.2">
      <c r="A51" s="221">
        <v>41</v>
      </c>
      <c r="B51" s="254" t="s">
        <v>1440</v>
      </c>
      <c r="C51" s="230" t="s">
        <v>1441</v>
      </c>
      <c r="D51" s="230" t="s">
        <v>1442</v>
      </c>
      <c r="E51" s="231" t="s">
        <v>115</v>
      </c>
      <c r="F51" s="231" t="s">
        <v>117</v>
      </c>
      <c r="G51" s="231" t="s">
        <v>315</v>
      </c>
      <c r="H51" s="232" t="s">
        <v>901</v>
      </c>
      <c r="I51" s="226">
        <v>225000</v>
      </c>
      <c r="J51" s="226">
        <v>11250</v>
      </c>
      <c r="K51" s="226">
        <v>11250</v>
      </c>
      <c r="L51" s="226"/>
      <c r="M51" s="226"/>
      <c r="N51" s="226"/>
      <c r="O51" s="227">
        <f t="shared" si="3"/>
        <v>202500</v>
      </c>
    </row>
    <row r="52" spans="1:15" s="228" customFormat="1" ht="117" x14ac:dyDescent="0.2">
      <c r="A52" s="221">
        <v>42</v>
      </c>
      <c r="B52" s="254" t="s">
        <v>1440</v>
      </c>
      <c r="C52" s="230" t="s">
        <v>1443</v>
      </c>
      <c r="D52" s="230" t="s">
        <v>1444</v>
      </c>
      <c r="E52" s="231" t="s">
        <v>963</v>
      </c>
      <c r="F52" s="231" t="s">
        <v>19</v>
      </c>
      <c r="G52" s="231" t="s">
        <v>964</v>
      </c>
      <c r="H52" s="232" t="s">
        <v>1445</v>
      </c>
      <c r="I52" s="226">
        <v>380000</v>
      </c>
      <c r="J52" s="226">
        <v>19000</v>
      </c>
      <c r="K52" s="226">
        <v>19000</v>
      </c>
      <c r="L52" s="226"/>
      <c r="M52" s="226"/>
      <c r="N52" s="226"/>
      <c r="O52" s="227">
        <f t="shared" si="3"/>
        <v>342000</v>
      </c>
    </row>
    <row r="53" spans="1:15" s="228" customFormat="1" ht="97.5" x14ac:dyDescent="0.2">
      <c r="A53" s="221">
        <v>43</v>
      </c>
      <c r="B53" s="254" t="s">
        <v>1446</v>
      </c>
      <c r="C53" s="230" t="s">
        <v>1447</v>
      </c>
      <c r="D53" s="230" t="s">
        <v>1448</v>
      </c>
      <c r="E53" s="231" t="s">
        <v>115</v>
      </c>
      <c r="F53" s="231" t="s">
        <v>117</v>
      </c>
      <c r="G53" s="231" t="s">
        <v>322</v>
      </c>
      <c r="H53" s="232" t="s">
        <v>901</v>
      </c>
      <c r="I53" s="226">
        <v>355000</v>
      </c>
      <c r="J53" s="226">
        <v>17750</v>
      </c>
      <c r="K53" s="226">
        <v>17750</v>
      </c>
      <c r="L53" s="226"/>
      <c r="M53" s="226"/>
      <c r="N53" s="226"/>
      <c r="O53" s="227">
        <f t="shared" si="3"/>
        <v>319500</v>
      </c>
    </row>
    <row r="54" spans="1:15" s="228" customFormat="1" ht="117" x14ac:dyDescent="0.2">
      <c r="A54" s="221">
        <v>44</v>
      </c>
      <c r="B54" s="254" t="s">
        <v>1446</v>
      </c>
      <c r="C54" s="230" t="s">
        <v>1449</v>
      </c>
      <c r="D54" s="230" t="s">
        <v>1450</v>
      </c>
      <c r="E54" s="231" t="s">
        <v>302</v>
      </c>
      <c r="F54" s="231" t="s">
        <v>117</v>
      </c>
      <c r="G54" s="231" t="s">
        <v>318</v>
      </c>
      <c r="H54" s="232" t="s">
        <v>1451</v>
      </c>
      <c r="I54" s="226">
        <v>25000</v>
      </c>
      <c r="J54" s="226">
        <v>1250</v>
      </c>
      <c r="K54" s="226">
        <v>1250</v>
      </c>
      <c r="L54" s="226"/>
      <c r="M54" s="226"/>
      <c r="N54" s="226"/>
      <c r="O54" s="227">
        <f t="shared" si="3"/>
        <v>22500</v>
      </c>
    </row>
    <row r="55" spans="1:15" s="228" customFormat="1" ht="97.5" x14ac:dyDescent="0.2">
      <c r="A55" s="221">
        <v>45</v>
      </c>
      <c r="B55" s="254">
        <v>242430</v>
      </c>
      <c r="C55" s="230" t="s">
        <v>1452</v>
      </c>
      <c r="D55" s="230" t="s">
        <v>1453</v>
      </c>
      <c r="E55" s="231" t="s">
        <v>115</v>
      </c>
      <c r="F55" s="231" t="s">
        <v>117</v>
      </c>
      <c r="G55" s="231" t="s">
        <v>318</v>
      </c>
      <c r="H55" s="232" t="s">
        <v>901</v>
      </c>
      <c r="I55" s="226">
        <v>25000</v>
      </c>
      <c r="J55" s="226">
        <v>1250</v>
      </c>
      <c r="K55" s="226">
        <v>1250</v>
      </c>
      <c r="L55" s="226"/>
      <c r="M55" s="226"/>
      <c r="N55" s="226"/>
      <c r="O55" s="227">
        <f t="shared" si="3"/>
        <v>22500</v>
      </c>
    </row>
    <row r="56" spans="1:15" s="228" customFormat="1" ht="97.5" x14ac:dyDescent="0.2">
      <c r="A56" s="221">
        <v>46</v>
      </c>
      <c r="B56" s="254">
        <v>242430</v>
      </c>
      <c r="C56" s="230" t="s">
        <v>1454</v>
      </c>
      <c r="D56" s="230" t="s">
        <v>1455</v>
      </c>
      <c r="E56" s="231" t="s">
        <v>1456</v>
      </c>
      <c r="F56" s="231" t="s">
        <v>161</v>
      </c>
      <c r="G56" s="231" t="s">
        <v>1103</v>
      </c>
      <c r="H56" s="232" t="s">
        <v>1457</v>
      </c>
      <c r="I56" s="226">
        <v>50005</v>
      </c>
      <c r="J56" s="226">
        <v>25002.5</v>
      </c>
      <c r="K56" s="226">
        <v>25002.5</v>
      </c>
      <c r="L56" s="226"/>
      <c r="M56" s="226"/>
      <c r="N56" s="226"/>
      <c r="O56" s="227">
        <f t="shared" si="3"/>
        <v>0</v>
      </c>
    </row>
    <row r="57" spans="1:15" s="228" customFormat="1" ht="78" x14ac:dyDescent="0.2">
      <c r="A57" s="221">
        <v>47</v>
      </c>
      <c r="B57" s="254">
        <v>242430</v>
      </c>
      <c r="C57" s="230" t="s">
        <v>1458</v>
      </c>
      <c r="D57" s="230" t="s">
        <v>1459</v>
      </c>
      <c r="E57" s="231" t="s">
        <v>897</v>
      </c>
      <c r="F57" s="231" t="s">
        <v>117</v>
      </c>
      <c r="G57" s="231" t="s">
        <v>898</v>
      </c>
      <c r="H57" s="232" t="s">
        <v>1460</v>
      </c>
      <c r="I57" s="226">
        <v>196020</v>
      </c>
      <c r="J57" s="226">
        <v>9801</v>
      </c>
      <c r="K57" s="226">
        <v>9801</v>
      </c>
      <c r="L57" s="226"/>
      <c r="M57" s="226"/>
      <c r="N57" s="226"/>
      <c r="O57" s="227">
        <f t="shared" si="3"/>
        <v>176418</v>
      </c>
    </row>
    <row r="58" spans="1:15" s="228" customFormat="1" ht="97.5" x14ac:dyDescent="0.2">
      <c r="A58" s="221">
        <v>48</v>
      </c>
      <c r="B58" s="254">
        <v>242430</v>
      </c>
      <c r="C58" s="256" t="s">
        <v>1109</v>
      </c>
      <c r="D58" s="230" t="s">
        <v>1461</v>
      </c>
      <c r="E58" s="231" t="s">
        <v>115</v>
      </c>
      <c r="F58" s="231" t="s">
        <v>117</v>
      </c>
      <c r="G58" s="231" t="s">
        <v>1462</v>
      </c>
      <c r="H58" s="232" t="s">
        <v>901</v>
      </c>
      <c r="I58" s="226">
        <v>2470000</v>
      </c>
      <c r="J58" s="226">
        <v>123500</v>
      </c>
      <c r="K58" s="226">
        <v>123500</v>
      </c>
      <c r="L58" s="226"/>
      <c r="M58" s="226"/>
      <c r="N58" s="226"/>
      <c r="O58" s="227">
        <f t="shared" si="3"/>
        <v>2223000</v>
      </c>
    </row>
    <row r="59" spans="1:15" s="228" customFormat="1" ht="117" x14ac:dyDescent="0.2">
      <c r="A59" s="221">
        <v>49</v>
      </c>
      <c r="B59" s="254">
        <v>242430</v>
      </c>
      <c r="C59" s="256" t="s">
        <v>1109</v>
      </c>
      <c r="D59" s="230" t="s">
        <v>1463</v>
      </c>
      <c r="E59" s="231" t="s">
        <v>963</v>
      </c>
      <c r="F59" s="231" t="s">
        <v>19</v>
      </c>
      <c r="G59" s="231" t="s">
        <v>964</v>
      </c>
      <c r="H59" s="232" t="s">
        <v>1464</v>
      </c>
      <c r="I59" s="226">
        <v>570000</v>
      </c>
      <c r="J59" s="226">
        <v>28500</v>
      </c>
      <c r="K59" s="226">
        <v>28500</v>
      </c>
      <c r="L59" s="226"/>
      <c r="M59" s="226"/>
      <c r="N59" s="226"/>
      <c r="O59" s="227">
        <f t="shared" ref="O59" si="4">+I59-(SUM(J59:N59))</f>
        <v>513000</v>
      </c>
    </row>
    <row r="60" spans="1:15" x14ac:dyDescent="0.45">
      <c r="A60" s="216" t="s">
        <v>447</v>
      </c>
      <c r="B60" s="251"/>
      <c r="C60" s="217"/>
      <c r="D60" s="217"/>
      <c r="E60" s="218"/>
      <c r="F60" s="219"/>
      <c r="G60" s="219"/>
      <c r="H60" s="219"/>
      <c r="I60" s="220">
        <f>SUM(I61:I93)</f>
        <v>8720513.4399999995</v>
      </c>
      <c r="J60" s="220">
        <f t="shared" ref="J60:O60" si="5">SUM(J61:J93)</f>
        <v>421520.38000000006</v>
      </c>
      <c r="K60" s="220">
        <f t="shared" si="5"/>
        <v>421520.38000000006</v>
      </c>
      <c r="L60" s="220">
        <f t="shared" si="5"/>
        <v>124385.55</v>
      </c>
      <c r="M60" s="220">
        <f t="shared" si="5"/>
        <v>104385.55</v>
      </c>
      <c r="N60" s="220">
        <f t="shared" si="5"/>
        <v>0</v>
      </c>
      <c r="O60" s="220">
        <f t="shared" si="5"/>
        <v>7648701.5800000001</v>
      </c>
    </row>
    <row r="61" spans="1:15" s="228" customFormat="1" ht="116.25" x14ac:dyDescent="0.2">
      <c r="A61" s="257">
        <v>1</v>
      </c>
      <c r="B61" s="258" t="s">
        <v>1295</v>
      </c>
      <c r="C61" s="259" t="s">
        <v>1465</v>
      </c>
      <c r="D61" s="260" t="s">
        <v>1466</v>
      </c>
      <c r="E61" s="261" t="s">
        <v>451</v>
      </c>
      <c r="F61" s="261" t="s">
        <v>22</v>
      </c>
      <c r="G61" s="261" t="s">
        <v>1467</v>
      </c>
      <c r="H61" s="262" t="s">
        <v>1468</v>
      </c>
      <c r="I61" s="263">
        <v>120000</v>
      </c>
      <c r="J61" s="263">
        <v>6000</v>
      </c>
      <c r="K61" s="263">
        <v>6000</v>
      </c>
      <c r="L61" s="263">
        <v>0</v>
      </c>
      <c r="M61" s="263">
        <v>0</v>
      </c>
      <c r="N61" s="263">
        <v>0</v>
      </c>
      <c r="O61" s="253">
        <f t="shared" si="1"/>
        <v>108000</v>
      </c>
    </row>
    <row r="62" spans="1:15" s="228" customFormat="1" ht="155.25" x14ac:dyDescent="0.2">
      <c r="A62" s="264">
        <v>2</v>
      </c>
      <c r="B62" s="254" t="s">
        <v>1352</v>
      </c>
      <c r="C62" s="230" t="s">
        <v>1469</v>
      </c>
      <c r="D62" s="230" t="s">
        <v>1470</v>
      </c>
      <c r="E62" s="231" t="s">
        <v>723</v>
      </c>
      <c r="F62" s="231" t="s">
        <v>22</v>
      </c>
      <c r="G62" s="231" t="s">
        <v>724</v>
      </c>
      <c r="H62" s="232" t="s">
        <v>1471</v>
      </c>
      <c r="I62" s="226">
        <v>120002</v>
      </c>
      <c r="J62" s="226">
        <f>39999+20002</f>
        <v>60001</v>
      </c>
      <c r="K62" s="226">
        <f>39999+20002</f>
        <v>60001</v>
      </c>
      <c r="L62" s="226">
        <v>0</v>
      </c>
      <c r="M62" s="226">
        <v>0</v>
      </c>
      <c r="N62" s="226">
        <v>0</v>
      </c>
      <c r="O62" s="227">
        <f t="shared" si="1"/>
        <v>0</v>
      </c>
    </row>
    <row r="63" spans="1:15" s="228" customFormat="1" ht="195" x14ac:dyDescent="0.2">
      <c r="A63" s="264">
        <v>3</v>
      </c>
      <c r="B63" s="254" t="s">
        <v>1472</v>
      </c>
      <c r="C63" s="230" t="s">
        <v>1473</v>
      </c>
      <c r="D63" s="230" t="s">
        <v>1474</v>
      </c>
      <c r="E63" s="231" t="s">
        <v>1139</v>
      </c>
      <c r="F63" s="231" t="s">
        <v>512</v>
      </c>
      <c r="G63" s="231" t="s">
        <v>1134</v>
      </c>
      <c r="H63" s="232" t="s">
        <v>1475</v>
      </c>
      <c r="I63" s="226">
        <v>16000</v>
      </c>
      <c r="J63" s="226">
        <v>8000</v>
      </c>
      <c r="K63" s="226">
        <v>8000</v>
      </c>
      <c r="L63" s="226">
        <v>0</v>
      </c>
      <c r="M63" s="226">
        <v>0</v>
      </c>
      <c r="N63" s="226">
        <v>0</v>
      </c>
      <c r="O63" s="227">
        <f t="shared" si="1"/>
        <v>0</v>
      </c>
    </row>
    <row r="64" spans="1:15" s="228" customFormat="1" ht="195" x14ac:dyDescent="0.2">
      <c r="A64" s="264">
        <v>4</v>
      </c>
      <c r="B64" s="254" t="s">
        <v>1476</v>
      </c>
      <c r="C64" s="230" t="s">
        <v>1477</v>
      </c>
      <c r="D64" s="230" t="s">
        <v>1478</v>
      </c>
      <c r="E64" s="231" t="s">
        <v>699</v>
      </c>
      <c r="F64" s="231" t="s">
        <v>22</v>
      </c>
      <c r="G64" s="231" t="s">
        <v>718</v>
      </c>
      <c r="H64" s="232" t="s">
        <v>1479</v>
      </c>
      <c r="I64" s="226">
        <v>59900</v>
      </c>
      <c r="J64" s="226">
        <v>0</v>
      </c>
      <c r="K64" s="226">
        <v>0</v>
      </c>
      <c r="L64" s="226">
        <v>2040.9</v>
      </c>
      <c r="M64" s="226">
        <v>2040.9</v>
      </c>
      <c r="N64" s="226">
        <v>0</v>
      </c>
      <c r="O64" s="227">
        <f t="shared" si="1"/>
        <v>55818.2</v>
      </c>
    </row>
    <row r="65" spans="1:15" s="228" customFormat="1" ht="155.25" x14ac:dyDescent="0.2">
      <c r="A65" s="264">
        <v>5</v>
      </c>
      <c r="B65" s="254" t="s">
        <v>1379</v>
      </c>
      <c r="C65" s="230" t="s">
        <v>1480</v>
      </c>
      <c r="D65" s="230" t="s">
        <v>1481</v>
      </c>
      <c r="E65" s="231" t="s">
        <v>752</v>
      </c>
      <c r="F65" s="231" t="s">
        <v>706</v>
      </c>
      <c r="G65" s="231" t="s">
        <v>1482</v>
      </c>
      <c r="H65" s="232" t="s">
        <v>1483</v>
      </c>
      <c r="I65" s="226">
        <v>30547</v>
      </c>
      <c r="J65" s="226">
        <v>0</v>
      </c>
      <c r="K65" s="226">
        <v>0</v>
      </c>
      <c r="L65" s="226">
        <v>15273.5</v>
      </c>
      <c r="M65" s="226">
        <v>15273.5</v>
      </c>
      <c r="N65" s="226">
        <v>0</v>
      </c>
      <c r="O65" s="227">
        <f t="shared" si="1"/>
        <v>0</v>
      </c>
    </row>
    <row r="66" spans="1:15" s="228" customFormat="1" ht="136.5" x14ac:dyDescent="0.2">
      <c r="A66" s="264">
        <v>6</v>
      </c>
      <c r="B66" s="254" t="s">
        <v>1484</v>
      </c>
      <c r="C66" s="230" t="s">
        <v>1485</v>
      </c>
      <c r="D66" s="230" t="s">
        <v>1486</v>
      </c>
      <c r="E66" s="231" t="s">
        <v>723</v>
      </c>
      <c r="F66" s="231" t="s">
        <v>22</v>
      </c>
      <c r="G66" s="231" t="s">
        <v>1144</v>
      </c>
      <c r="H66" s="232" t="s">
        <v>1487</v>
      </c>
      <c r="I66" s="226">
        <v>128250</v>
      </c>
      <c r="J66" s="226">
        <f>128250*0.1/2</f>
        <v>6412.5</v>
      </c>
      <c r="K66" s="226">
        <f>128250*0.1/2</f>
        <v>6412.5</v>
      </c>
      <c r="L66" s="226">
        <v>0</v>
      </c>
      <c r="M66" s="226">
        <v>0</v>
      </c>
      <c r="N66" s="226">
        <v>0</v>
      </c>
      <c r="O66" s="227">
        <f t="shared" si="1"/>
        <v>115425</v>
      </c>
    </row>
    <row r="67" spans="1:15" s="228" customFormat="1" ht="136.5" x14ac:dyDescent="0.2">
      <c r="A67" s="264">
        <v>7</v>
      </c>
      <c r="B67" s="254" t="s">
        <v>1484</v>
      </c>
      <c r="C67" s="230" t="s">
        <v>1488</v>
      </c>
      <c r="D67" s="230" t="s">
        <v>1489</v>
      </c>
      <c r="E67" s="231" t="s">
        <v>492</v>
      </c>
      <c r="F67" s="231" t="s">
        <v>22</v>
      </c>
      <c r="G67" s="231" t="s">
        <v>1144</v>
      </c>
      <c r="H67" s="232" t="s">
        <v>1490</v>
      </c>
      <c r="I67" s="226">
        <v>139650</v>
      </c>
      <c r="J67" s="226">
        <f>139650*0.1/2</f>
        <v>6982.5</v>
      </c>
      <c r="K67" s="226">
        <f>139650*0.1/2</f>
        <v>6982.5</v>
      </c>
      <c r="L67" s="226">
        <v>0</v>
      </c>
      <c r="M67" s="226">
        <v>0</v>
      </c>
      <c r="N67" s="226">
        <v>0</v>
      </c>
      <c r="O67" s="227">
        <f t="shared" si="1"/>
        <v>125685</v>
      </c>
    </row>
    <row r="68" spans="1:15" s="228" customFormat="1" ht="194.25" x14ac:dyDescent="0.2">
      <c r="A68" s="264">
        <v>8</v>
      </c>
      <c r="B68" s="254" t="s">
        <v>1491</v>
      </c>
      <c r="C68" s="230" t="s">
        <v>1492</v>
      </c>
      <c r="D68" s="230" t="s">
        <v>1493</v>
      </c>
      <c r="E68" s="231" t="s">
        <v>699</v>
      </c>
      <c r="F68" s="231" t="s">
        <v>22</v>
      </c>
      <c r="G68" s="231" t="s">
        <v>700</v>
      </c>
      <c r="H68" s="232" t="s">
        <v>1494</v>
      </c>
      <c r="I68" s="226">
        <v>59900</v>
      </c>
      <c r="J68" s="226">
        <v>0</v>
      </c>
      <c r="K68" s="226">
        <v>0</v>
      </c>
      <c r="L68" s="226">
        <v>2040.9</v>
      </c>
      <c r="M68" s="226">
        <v>2040.9</v>
      </c>
      <c r="N68" s="226">
        <v>0</v>
      </c>
      <c r="O68" s="227">
        <f t="shared" si="1"/>
        <v>55818.2</v>
      </c>
    </row>
    <row r="69" spans="1:15" s="228" customFormat="1" ht="135.75" x14ac:dyDescent="0.2">
      <c r="A69" s="264">
        <v>9</v>
      </c>
      <c r="B69" s="254" t="s">
        <v>1495</v>
      </c>
      <c r="C69" s="230" t="s">
        <v>1496</v>
      </c>
      <c r="D69" s="230" t="s">
        <v>1497</v>
      </c>
      <c r="E69" s="231" t="s">
        <v>461</v>
      </c>
      <c r="F69" s="231" t="s">
        <v>22</v>
      </c>
      <c r="G69" s="231" t="s">
        <v>1498</v>
      </c>
      <c r="H69" s="232" t="s">
        <v>1499</v>
      </c>
      <c r="I69" s="226">
        <v>10000</v>
      </c>
      <c r="J69" s="226">
        <v>0</v>
      </c>
      <c r="K69" s="226">
        <v>0</v>
      </c>
      <c r="L69" s="265" t="s">
        <v>1500</v>
      </c>
      <c r="M69" s="226"/>
      <c r="N69" s="226">
        <v>0</v>
      </c>
      <c r="O69" s="227">
        <f t="shared" si="1"/>
        <v>10000</v>
      </c>
    </row>
    <row r="70" spans="1:15" s="228" customFormat="1" ht="78" x14ac:dyDescent="0.2">
      <c r="A70" s="264">
        <v>10</v>
      </c>
      <c r="B70" s="254" t="s">
        <v>1501</v>
      </c>
      <c r="C70" s="230" t="s">
        <v>1502</v>
      </c>
      <c r="D70" s="230" t="s">
        <v>1503</v>
      </c>
      <c r="E70" s="231" t="s">
        <v>451</v>
      </c>
      <c r="F70" s="231" t="s">
        <v>22</v>
      </c>
      <c r="G70" s="231" t="s">
        <v>452</v>
      </c>
      <c r="H70" s="232" t="s">
        <v>1504</v>
      </c>
      <c r="I70" s="226">
        <v>214555.76</v>
      </c>
      <c r="J70" s="226">
        <v>10727.79</v>
      </c>
      <c r="K70" s="226">
        <v>10727.79</v>
      </c>
      <c r="L70" s="226">
        <v>0</v>
      </c>
      <c r="M70" s="226">
        <v>0</v>
      </c>
      <c r="N70" s="226">
        <v>0</v>
      </c>
      <c r="O70" s="227">
        <f t="shared" si="1"/>
        <v>193100.18</v>
      </c>
    </row>
    <row r="71" spans="1:15" s="228" customFormat="1" ht="116.25" x14ac:dyDescent="0.2">
      <c r="A71" s="264">
        <v>11</v>
      </c>
      <c r="B71" s="254" t="s">
        <v>1409</v>
      </c>
      <c r="C71" s="230" t="s">
        <v>1505</v>
      </c>
      <c r="D71" s="230" t="s">
        <v>1506</v>
      </c>
      <c r="E71" s="231" t="s">
        <v>475</v>
      </c>
      <c r="F71" s="231" t="s">
        <v>22</v>
      </c>
      <c r="G71" s="231" t="s">
        <v>1498</v>
      </c>
      <c r="H71" s="232" t="s">
        <v>1507</v>
      </c>
      <c r="I71" s="226">
        <v>42000</v>
      </c>
      <c r="J71" s="226">
        <v>0</v>
      </c>
      <c r="K71" s="226">
        <v>0</v>
      </c>
      <c r="L71" s="265" t="s">
        <v>1500</v>
      </c>
      <c r="M71" s="226"/>
      <c r="N71" s="226">
        <v>0</v>
      </c>
      <c r="O71" s="227">
        <f t="shared" si="1"/>
        <v>42000</v>
      </c>
    </row>
    <row r="72" spans="1:15" s="228" customFormat="1" ht="96.75" x14ac:dyDescent="0.2">
      <c r="A72" s="264">
        <v>12</v>
      </c>
      <c r="B72" s="254" t="s">
        <v>1508</v>
      </c>
      <c r="C72" s="230" t="s">
        <v>1509</v>
      </c>
      <c r="D72" s="230" t="s">
        <v>1510</v>
      </c>
      <c r="E72" s="231" t="s">
        <v>1511</v>
      </c>
      <c r="F72" s="231" t="s">
        <v>22</v>
      </c>
      <c r="G72" s="231" t="s">
        <v>1512</v>
      </c>
      <c r="H72" s="232" t="s">
        <v>1513</v>
      </c>
      <c r="I72" s="226">
        <v>252000</v>
      </c>
      <c r="J72" s="226">
        <v>0</v>
      </c>
      <c r="K72" s="226">
        <v>0</v>
      </c>
      <c r="L72" s="226">
        <v>17500</v>
      </c>
      <c r="M72" s="226">
        <v>17500</v>
      </c>
      <c r="N72" s="226">
        <v>0</v>
      </c>
      <c r="O72" s="227">
        <f t="shared" si="1"/>
        <v>217000</v>
      </c>
    </row>
    <row r="73" spans="1:15" s="228" customFormat="1" ht="135.75" x14ac:dyDescent="0.2">
      <c r="A73" s="264">
        <v>13</v>
      </c>
      <c r="B73" s="254" t="s">
        <v>1514</v>
      </c>
      <c r="C73" s="230" t="s">
        <v>1515</v>
      </c>
      <c r="D73" s="230" t="s">
        <v>1516</v>
      </c>
      <c r="E73" s="231" t="s">
        <v>712</v>
      </c>
      <c r="F73" s="231" t="s">
        <v>22</v>
      </c>
      <c r="G73" s="231" t="s">
        <v>1517</v>
      </c>
      <c r="H73" s="232" t="s">
        <v>1518</v>
      </c>
      <c r="I73" s="226">
        <v>21600</v>
      </c>
      <c r="J73" s="226">
        <v>1080</v>
      </c>
      <c r="K73" s="226">
        <v>1080</v>
      </c>
      <c r="L73" s="226">
        <v>0</v>
      </c>
      <c r="M73" s="226">
        <v>0</v>
      </c>
      <c r="N73" s="226">
        <v>0</v>
      </c>
      <c r="O73" s="227">
        <f t="shared" si="1"/>
        <v>19440</v>
      </c>
    </row>
    <row r="74" spans="1:15" s="228" customFormat="1" ht="175.5" x14ac:dyDescent="0.2">
      <c r="A74" s="264">
        <v>14</v>
      </c>
      <c r="B74" s="254" t="s">
        <v>1519</v>
      </c>
      <c r="C74" s="230" t="s">
        <v>1520</v>
      </c>
      <c r="D74" s="230" t="s">
        <v>1521</v>
      </c>
      <c r="E74" s="231" t="s">
        <v>1202</v>
      </c>
      <c r="F74" s="231" t="s">
        <v>1522</v>
      </c>
      <c r="G74" s="231" t="s">
        <v>1523</v>
      </c>
      <c r="H74" s="232" t="s">
        <v>1524</v>
      </c>
      <c r="I74" s="226">
        <v>2000000</v>
      </c>
      <c r="J74" s="226">
        <v>100000</v>
      </c>
      <c r="K74" s="226">
        <v>100000</v>
      </c>
      <c r="L74" s="226">
        <v>0</v>
      </c>
      <c r="M74" s="226">
        <v>0</v>
      </c>
      <c r="N74" s="226">
        <v>0</v>
      </c>
      <c r="O74" s="227">
        <f t="shared" si="1"/>
        <v>1800000</v>
      </c>
    </row>
    <row r="75" spans="1:15" s="228" customFormat="1" ht="136.5" x14ac:dyDescent="0.2">
      <c r="A75" s="264">
        <v>15</v>
      </c>
      <c r="B75" s="254" t="s">
        <v>1519</v>
      </c>
      <c r="C75" s="230" t="s">
        <v>1520</v>
      </c>
      <c r="D75" s="230" t="s">
        <v>1521</v>
      </c>
      <c r="E75" s="231" t="s">
        <v>1206</v>
      </c>
      <c r="F75" s="231" t="s">
        <v>1522</v>
      </c>
      <c r="G75" s="231" t="s">
        <v>1523</v>
      </c>
      <c r="H75" s="232" t="s">
        <v>1525</v>
      </c>
      <c r="I75" s="226">
        <v>1000000</v>
      </c>
      <c r="J75" s="226">
        <v>50000</v>
      </c>
      <c r="K75" s="226">
        <v>50000</v>
      </c>
      <c r="L75" s="226">
        <v>0</v>
      </c>
      <c r="M75" s="226">
        <v>0</v>
      </c>
      <c r="N75" s="226">
        <v>0</v>
      </c>
      <c r="O75" s="227">
        <f t="shared" si="1"/>
        <v>900000</v>
      </c>
    </row>
    <row r="76" spans="1:15" s="228" customFormat="1" ht="156" x14ac:dyDescent="0.2">
      <c r="A76" s="264">
        <v>16</v>
      </c>
      <c r="B76" s="254" t="s">
        <v>1519</v>
      </c>
      <c r="C76" s="230" t="s">
        <v>1520</v>
      </c>
      <c r="D76" s="230" t="s">
        <v>1521</v>
      </c>
      <c r="E76" s="231" t="s">
        <v>963</v>
      </c>
      <c r="F76" s="231" t="s">
        <v>1522</v>
      </c>
      <c r="G76" s="231" t="s">
        <v>1523</v>
      </c>
      <c r="H76" s="232" t="s">
        <v>1526</v>
      </c>
      <c r="I76" s="226">
        <v>500000</v>
      </c>
      <c r="J76" s="226">
        <v>25000</v>
      </c>
      <c r="K76" s="226">
        <v>25000</v>
      </c>
      <c r="L76" s="226">
        <v>0</v>
      </c>
      <c r="M76" s="226">
        <v>0</v>
      </c>
      <c r="N76" s="226">
        <v>0</v>
      </c>
      <c r="O76" s="227">
        <f t="shared" si="1"/>
        <v>450000</v>
      </c>
    </row>
    <row r="77" spans="1:15" s="228" customFormat="1" ht="136.5" x14ac:dyDescent="0.2">
      <c r="A77" s="264">
        <v>17</v>
      </c>
      <c r="B77" s="254" t="s">
        <v>1519</v>
      </c>
      <c r="C77" s="230" t="s">
        <v>1520</v>
      </c>
      <c r="D77" s="230" t="s">
        <v>1521</v>
      </c>
      <c r="E77" s="231" t="s">
        <v>1527</v>
      </c>
      <c r="F77" s="231" t="s">
        <v>1522</v>
      </c>
      <c r="G77" s="231" t="s">
        <v>1523</v>
      </c>
      <c r="H77" s="232" t="s">
        <v>1528</v>
      </c>
      <c r="I77" s="226">
        <v>1000000</v>
      </c>
      <c r="J77" s="226">
        <v>50000</v>
      </c>
      <c r="K77" s="226">
        <v>50000</v>
      </c>
      <c r="L77" s="226">
        <v>0</v>
      </c>
      <c r="M77" s="226">
        <v>0</v>
      </c>
      <c r="N77" s="226">
        <v>0</v>
      </c>
      <c r="O77" s="227">
        <f t="shared" si="1"/>
        <v>900000</v>
      </c>
    </row>
    <row r="78" spans="1:15" s="228" customFormat="1" ht="97.5" x14ac:dyDescent="0.2">
      <c r="A78" s="264">
        <v>18</v>
      </c>
      <c r="B78" s="254" t="s">
        <v>1414</v>
      </c>
      <c r="C78" s="230" t="s">
        <v>1529</v>
      </c>
      <c r="D78" s="230" t="s">
        <v>1530</v>
      </c>
      <c r="E78" s="231" t="s">
        <v>1531</v>
      </c>
      <c r="F78" s="231" t="s">
        <v>739</v>
      </c>
      <c r="G78" s="231" t="s">
        <v>1103</v>
      </c>
      <c r="H78" s="232" t="s">
        <v>1532</v>
      </c>
      <c r="I78" s="226">
        <v>65336</v>
      </c>
      <c r="J78" s="226">
        <v>0</v>
      </c>
      <c r="K78" s="226">
        <v>0</v>
      </c>
      <c r="L78" s="226">
        <v>32668</v>
      </c>
      <c r="M78" s="226">
        <v>32668</v>
      </c>
      <c r="N78" s="226">
        <v>0</v>
      </c>
      <c r="O78" s="227">
        <f t="shared" si="1"/>
        <v>0</v>
      </c>
    </row>
    <row r="79" spans="1:15" s="228" customFormat="1" ht="97.5" x14ac:dyDescent="0.2">
      <c r="A79" s="264">
        <v>19</v>
      </c>
      <c r="B79" s="254" t="s">
        <v>1414</v>
      </c>
      <c r="C79" s="230" t="s">
        <v>1533</v>
      </c>
      <c r="D79" s="230" t="s">
        <v>1534</v>
      </c>
      <c r="E79" s="231" t="s">
        <v>1511</v>
      </c>
      <c r="F79" s="231" t="s">
        <v>22</v>
      </c>
      <c r="G79" s="231" t="s">
        <v>1512</v>
      </c>
      <c r="H79" s="232" t="s">
        <v>1535</v>
      </c>
      <c r="I79" s="226">
        <v>48000</v>
      </c>
      <c r="J79" s="226">
        <v>0</v>
      </c>
      <c r="K79" s="226">
        <v>0</v>
      </c>
      <c r="L79" s="266" t="s">
        <v>1536</v>
      </c>
      <c r="M79" s="226"/>
      <c r="N79" s="226">
        <v>0</v>
      </c>
      <c r="O79" s="227">
        <f t="shared" si="1"/>
        <v>48000</v>
      </c>
    </row>
    <row r="80" spans="1:15" s="228" customFormat="1" ht="116.25" x14ac:dyDescent="0.2">
      <c r="A80" s="264">
        <v>20</v>
      </c>
      <c r="B80" s="254" t="s">
        <v>1537</v>
      </c>
      <c r="C80" s="230" t="s">
        <v>1538</v>
      </c>
      <c r="D80" s="230" t="s">
        <v>1539</v>
      </c>
      <c r="E80" s="231" t="s">
        <v>1185</v>
      </c>
      <c r="F80" s="231" t="s">
        <v>739</v>
      </c>
      <c r="G80" s="231" t="s">
        <v>1540</v>
      </c>
      <c r="H80" s="232" t="s">
        <v>1541</v>
      </c>
      <c r="I80" s="226">
        <v>698225</v>
      </c>
      <c r="J80" s="226">
        <v>34911.25</v>
      </c>
      <c r="K80" s="226">
        <v>34911.25</v>
      </c>
      <c r="L80" s="266">
        <v>0</v>
      </c>
      <c r="M80" s="226">
        <v>0</v>
      </c>
      <c r="N80" s="226">
        <v>0</v>
      </c>
      <c r="O80" s="227">
        <f t="shared" si="1"/>
        <v>628402.5</v>
      </c>
    </row>
    <row r="81" spans="1:15" s="228" customFormat="1" ht="116.25" x14ac:dyDescent="0.2">
      <c r="A81" s="264">
        <v>21</v>
      </c>
      <c r="B81" s="254" t="s">
        <v>1537</v>
      </c>
      <c r="C81" s="230" t="s">
        <v>1542</v>
      </c>
      <c r="D81" s="230" t="s">
        <v>1539</v>
      </c>
      <c r="E81" s="231" t="s">
        <v>1185</v>
      </c>
      <c r="F81" s="231" t="s">
        <v>739</v>
      </c>
      <c r="G81" s="231" t="s">
        <v>1540</v>
      </c>
      <c r="H81" s="232" t="s">
        <v>1543</v>
      </c>
      <c r="I81" s="226">
        <v>71400</v>
      </c>
      <c r="J81" s="226">
        <v>0</v>
      </c>
      <c r="K81" s="226">
        <v>0</v>
      </c>
      <c r="L81" s="266">
        <v>0</v>
      </c>
      <c r="M81" s="226">
        <v>0</v>
      </c>
      <c r="N81" s="145" t="s">
        <v>311</v>
      </c>
      <c r="O81" s="227">
        <f t="shared" si="1"/>
        <v>71400</v>
      </c>
    </row>
    <row r="82" spans="1:15" s="228" customFormat="1" ht="117" x14ac:dyDescent="0.2">
      <c r="A82" s="264">
        <v>22</v>
      </c>
      <c r="B82" s="254" t="s">
        <v>1544</v>
      </c>
      <c r="C82" s="230" t="s">
        <v>1545</v>
      </c>
      <c r="D82" s="230" t="s">
        <v>1546</v>
      </c>
      <c r="E82" s="231" t="s">
        <v>712</v>
      </c>
      <c r="F82" s="231" t="s">
        <v>22</v>
      </c>
      <c r="G82" s="231" t="s">
        <v>1540</v>
      </c>
      <c r="H82" s="232" t="s">
        <v>1547</v>
      </c>
      <c r="I82" s="226">
        <v>21600</v>
      </c>
      <c r="J82" s="226">
        <v>1080</v>
      </c>
      <c r="K82" s="226">
        <v>1080</v>
      </c>
      <c r="L82" s="266">
        <v>0</v>
      </c>
      <c r="M82" s="226">
        <v>0</v>
      </c>
      <c r="N82" s="226">
        <v>0</v>
      </c>
      <c r="O82" s="227">
        <f t="shared" si="1"/>
        <v>19440</v>
      </c>
    </row>
    <row r="83" spans="1:15" s="228" customFormat="1" ht="194.25" x14ac:dyDescent="0.2">
      <c r="A83" s="264">
        <v>23</v>
      </c>
      <c r="B83" s="254" t="s">
        <v>1548</v>
      </c>
      <c r="C83" s="230" t="s">
        <v>1549</v>
      </c>
      <c r="D83" s="230" t="s">
        <v>1550</v>
      </c>
      <c r="E83" s="231" t="s">
        <v>1551</v>
      </c>
      <c r="F83" s="231" t="s">
        <v>1552</v>
      </c>
      <c r="G83" s="231" t="s">
        <v>1553</v>
      </c>
      <c r="H83" s="232" t="s">
        <v>1554</v>
      </c>
      <c r="I83" s="226">
        <v>800000</v>
      </c>
      <c r="J83" s="226">
        <v>40000</v>
      </c>
      <c r="K83" s="226">
        <v>40000</v>
      </c>
      <c r="L83" s="266">
        <v>0</v>
      </c>
      <c r="M83" s="226">
        <v>0</v>
      </c>
      <c r="N83" s="226">
        <v>0</v>
      </c>
      <c r="O83" s="227">
        <f t="shared" si="1"/>
        <v>720000</v>
      </c>
    </row>
    <row r="84" spans="1:15" s="228" customFormat="1" ht="114.75" x14ac:dyDescent="0.2">
      <c r="A84" s="264">
        <v>24</v>
      </c>
      <c r="B84" s="254" t="s">
        <v>1555</v>
      </c>
      <c r="C84" s="230" t="s">
        <v>1556</v>
      </c>
      <c r="D84" s="230" t="s">
        <v>1557</v>
      </c>
      <c r="E84" s="231" t="s">
        <v>388</v>
      </c>
      <c r="F84" s="231" t="s">
        <v>22</v>
      </c>
      <c r="G84" s="231" t="s">
        <v>718</v>
      </c>
      <c r="H84" s="232" t="s">
        <v>1558</v>
      </c>
      <c r="I84" s="226">
        <v>23500</v>
      </c>
      <c r="J84" s="226">
        <v>0</v>
      </c>
      <c r="K84" s="226">
        <v>0</v>
      </c>
      <c r="L84" s="266">
        <v>0</v>
      </c>
      <c r="M84" s="226">
        <v>0</v>
      </c>
      <c r="N84" s="145" t="s">
        <v>311</v>
      </c>
      <c r="O84" s="227">
        <f t="shared" si="1"/>
        <v>23500</v>
      </c>
    </row>
    <row r="85" spans="1:15" s="228" customFormat="1" ht="155.25" x14ac:dyDescent="0.2">
      <c r="A85" s="264">
        <v>25</v>
      </c>
      <c r="B85" s="254" t="s">
        <v>1559</v>
      </c>
      <c r="C85" s="230" t="s">
        <v>1560</v>
      </c>
      <c r="D85" s="230" t="s">
        <v>1561</v>
      </c>
      <c r="E85" s="231" t="s">
        <v>1562</v>
      </c>
      <c r="F85" s="231" t="s">
        <v>512</v>
      </c>
      <c r="G85" s="231" t="s">
        <v>1134</v>
      </c>
      <c r="H85" s="232" t="s">
        <v>1563</v>
      </c>
      <c r="I85" s="226">
        <v>13200</v>
      </c>
      <c r="J85" s="226">
        <v>6600</v>
      </c>
      <c r="K85" s="226">
        <v>6600</v>
      </c>
      <c r="L85" s="266">
        <v>0</v>
      </c>
      <c r="M85" s="226">
        <v>0</v>
      </c>
      <c r="N85" s="226">
        <v>0</v>
      </c>
      <c r="O85" s="227">
        <f t="shared" si="1"/>
        <v>0</v>
      </c>
    </row>
    <row r="86" spans="1:15" s="228" customFormat="1" ht="155.25" x14ac:dyDescent="0.2">
      <c r="A86" s="264">
        <v>26</v>
      </c>
      <c r="B86" s="254" t="s">
        <v>1564</v>
      </c>
      <c r="C86" s="230" t="s">
        <v>1565</v>
      </c>
      <c r="D86" s="230" t="s">
        <v>1566</v>
      </c>
      <c r="E86" s="231" t="s">
        <v>752</v>
      </c>
      <c r="F86" s="231" t="s">
        <v>1567</v>
      </c>
      <c r="G86" s="231" t="s">
        <v>1568</v>
      </c>
      <c r="H86" s="232" t="s">
        <v>1569</v>
      </c>
      <c r="I86" s="226">
        <v>30547</v>
      </c>
      <c r="J86" s="226">
        <v>0</v>
      </c>
      <c r="K86" s="226">
        <v>0</v>
      </c>
      <c r="L86" s="267">
        <v>15273.5</v>
      </c>
      <c r="M86" s="226">
        <v>15273.5</v>
      </c>
      <c r="N86" s="226">
        <v>0</v>
      </c>
      <c r="O86" s="227">
        <f t="shared" si="1"/>
        <v>0</v>
      </c>
    </row>
    <row r="87" spans="1:15" s="228" customFormat="1" ht="116.25" x14ac:dyDescent="0.2">
      <c r="A87" s="264">
        <v>27</v>
      </c>
      <c r="B87" s="254" t="s">
        <v>1570</v>
      </c>
      <c r="C87" s="230" t="s">
        <v>1571</v>
      </c>
      <c r="D87" s="230" t="s">
        <v>1572</v>
      </c>
      <c r="E87" s="231" t="s">
        <v>1185</v>
      </c>
      <c r="F87" s="231" t="s">
        <v>1186</v>
      </c>
      <c r="G87" s="231" t="s">
        <v>1187</v>
      </c>
      <c r="H87" s="232" t="s">
        <v>1573</v>
      </c>
      <c r="I87" s="226">
        <v>893850</v>
      </c>
      <c r="J87" s="226">
        <v>0</v>
      </c>
      <c r="K87" s="226">
        <v>0</v>
      </c>
      <c r="L87" s="267">
        <v>19588.75</v>
      </c>
      <c r="M87" s="226">
        <v>19588.75</v>
      </c>
      <c r="N87" s="226"/>
      <c r="O87" s="227">
        <f t="shared" si="1"/>
        <v>854672.5</v>
      </c>
    </row>
    <row r="88" spans="1:15" s="228" customFormat="1" ht="78" x14ac:dyDescent="0.2">
      <c r="A88" s="264">
        <v>28</v>
      </c>
      <c r="B88" s="254" t="s">
        <v>1574</v>
      </c>
      <c r="C88" s="230" t="s">
        <v>1575</v>
      </c>
      <c r="D88" s="230" t="s">
        <v>1576</v>
      </c>
      <c r="E88" s="231" t="s">
        <v>1577</v>
      </c>
      <c r="F88" s="231" t="s">
        <v>22</v>
      </c>
      <c r="G88" s="231" t="s">
        <v>1578</v>
      </c>
      <c r="H88" s="232" t="s">
        <v>1579</v>
      </c>
      <c r="I88" s="226">
        <v>170000</v>
      </c>
      <c r="J88" s="226">
        <v>8500</v>
      </c>
      <c r="K88" s="226">
        <v>8500</v>
      </c>
      <c r="L88" s="267"/>
      <c r="M88" s="226"/>
      <c r="N88" s="226"/>
      <c r="O88" s="227">
        <f t="shared" ref="O88:O93" si="6">+I88-(SUM(J88:N88))</f>
        <v>153000</v>
      </c>
    </row>
    <row r="89" spans="1:15" s="228" customFormat="1" ht="97.5" x14ac:dyDescent="0.2">
      <c r="A89" s="264">
        <v>29</v>
      </c>
      <c r="B89" s="254" t="s">
        <v>1574</v>
      </c>
      <c r="C89" s="230" t="s">
        <v>1580</v>
      </c>
      <c r="D89" s="230" t="s">
        <v>1581</v>
      </c>
      <c r="E89" s="231" t="s">
        <v>451</v>
      </c>
      <c r="F89" s="231" t="s">
        <v>22</v>
      </c>
      <c r="G89" s="231" t="s">
        <v>1582</v>
      </c>
      <c r="H89" s="232" t="s">
        <v>1583</v>
      </c>
      <c r="I89" s="226">
        <v>120000</v>
      </c>
      <c r="J89" s="226">
        <v>6000</v>
      </c>
      <c r="K89" s="226">
        <v>6000</v>
      </c>
      <c r="L89" s="267"/>
      <c r="M89" s="226"/>
      <c r="N89" s="226"/>
      <c r="O89" s="227">
        <f t="shared" si="6"/>
        <v>108000</v>
      </c>
    </row>
    <row r="90" spans="1:15" s="228" customFormat="1" ht="116.25" x14ac:dyDescent="0.2">
      <c r="A90" s="264">
        <v>30</v>
      </c>
      <c r="B90" s="254" t="s">
        <v>1584</v>
      </c>
      <c r="C90" s="230" t="s">
        <v>1585</v>
      </c>
      <c r="D90" s="230" t="s">
        <v>1586</v>
      </c>
      <c r="E90" s="231" t="s">
        <v>1587</v>
      </c>
      <c r="F90" s="231" t="s">
        <v>22</v>
      </c>
      <c r="G90" s="231" t="s">
        <v>1588</v>
      </c>
      <c r="H90" s="232" t="s">
        <v>1589</v>
      </c>
      <c r="I90" s="226">
        <v>12000</v>
      </c>
      <c r="J90" s="226">
        <v>0</v>
      </c>
      <c r="K90" s="226"/>
      <c r="L90" s="266" t="s">
        <v>1500</v>
      </c>
      <c r="M90" s="226"/>
      <c r="N90" s="226"/>
      <c r="O90" s="227">
        <f t="shared" si="6"/>
        <v>12000</v>
      </c>
    </row>
    <row r="91" spans="1:15" s="228" customFormat="1" ht="156" x14ac:dyDescent="0.2">
      <c r="A91" s="264">
        <v>31</v>
      </c>
      <c r="B91" s="254">
        <v>242430</v>
      </c>
      <c r="C91" s="230" t="s">
        <v>11</v>
      </c>
      <c r="D91" s="230" t="s">
        <v>1590</v>
      </c>
      <c r="E91" s="231" t="s">
        <v>91</v>
      </c>
      <c r="F91" s="231" t="s">
        <v>91</v>
      </c>
      <c r="G91" s="231" t="s">
        <v>1591</v>
      </c>
      <c r="H91" s="232" t="s">
        <v>1592</v>
      </c>
      <c r="I91" s="226">
        <v>20000</v>
      </c>
      <c r="J91" s="226">
        <v>0</v>
      </c>
      <c r="K91" s="226"/>
      <c r="L91" s="268">
        <v>20000</v>
      </c>
      <c r="M91" s="226"/>
      <c r="N91" s="226"/>
      <c r="O91" s="227">
        <f t="shared" si="6"/>
        <v>0</v>
      </c>
    </row>
    <row r="92" spans="1:15" s="228" customFormat="1" ht="175.5" x14ac:dyDescent="0.2">
      <c r="A92" s="264">
        <v>32</v>
      </c>
      <c r="B92" s="254">
        <v>242430</v>
      </c>
      <c r="C92" s="230" t="s">
        <v>1593</v>
      </c>
      <c r="D92" s="230" t="s">
        <v>1594</v>
      </c>
      <c r="E92" s="231" t="s">
        <v>1595</v>
      </c>
      <c r="F92" s="231" t="s">
        <v>22</v>
      </c>
      <c r="G92" s="231" t="s">
        <v>1596</v>
      </c>
      <c r="H92" s="232" t="s">
        <v>1597</v>
      </c>
      <c r="I92" s="226">
        <v>450.68</v>
      </c>
      <c r="J92" s="226">
        <v>225.34</v>
      </c>
      <c r="K92" s="226">
        <v>225.34</v>
      </c>
      <c r="L92" s="266"/>
      <c r="M92" s="226"/>
      <c r="N92" s="226"/>
      <c r="O92" s="227">
        <f t="shared" si="6"/>
        <v>0</v>
      </c>
    </row>
    <row r="93" spans="1:15" s="228" customFormat="1" ht="135.75" x14ac:dyDescent="0.2">
      <c r="A93" s="264">
        <v>33</v>
      </c>
      <c r="B93" s="254">
        <v>242430</v>
      </c>
      <c r="C93" s="256" t="s">
        <v>1109</v>
      </c>
      <c r="D93" s="230" t="s">
        <v>1598</v>
      </c>
      <c r="E93" s="231" t="s">
        <v>461</v>
      </c>
      <c r="F93" s="231" t="s">
        <v>22</v>
      </c>
      <c r="G93" s="231" t="s">
        <v>1498</v>
      </c>
      <c r="H93" s="232" t="s">
        <v>1599</v>
      </c>
      <c r="I93" s="226">
        <v>18000</v>
      </c>
      <c r="J93" s="226">
        <v>0</v>
      </c>
      <c r="K93" s="226">
        <v>0</v>
      </c>
      <c r="L93" s="265" t="s">
        <v>1500</v>
      </c>
      <c r="M93" s="226"/>
      <c r="N93" s="226">
        <v>0</v>
      </c>
      <c r="O93" s="227">
        <f t="shared" si="6"/>
        <v>18000</v>
      </c>
    </row>
    <row r="94" spans="1:15" x14ac:dyDescent="0.45">
      <c r="A94" s="216" t="s">
        <v>515</v>
      </c>
      <c r="B94" s="251"/>
      <c r="C94" s="217"/>
      <c r="D94" s="217"/>
      <c r="E94" s="218"/>
      <c r="F94" s="219"/>
      <c r="G94" s="219"/>
      <c r="H94" s="219"/>
      <c r="I94" s="220">
        <f>SUM(I95)</f>
        <v>0</v>
      </c>
      <c r="J94" s="220">
        <f t="shared" ref="J94:O94" si="7">SUM(J95)</f>
        <v>0</v>
      </c>
      <c r="K94" s="220">
        <f t="shared" si="7"/>
        <v>0</v>
      </c>
      <c r="L94" s="220">
        <f t="shared" si="7"/>
        <v>0</v>
      </c>
      <c r="M94" s="220">
        <f t="shared" si="7"/>
        <v>0</v>
      </c>
      <c r="N94" s="220">
        <f t="shared" si="7"/>
        <v>0</v>
      </c>
      <c r="O94" s="234">
        <f t="shared" si="7"/>
        <v>0</v>
      </c>
    </row>
    <row r="95" spans="1:15" s="241" customFormat="1" x14ac:dyDescent="0.2">
      <c r="A95" s="235"/>
      <c r="B95" s="269"/>
      <c r="C95" s="236"/>
      <c r="D95" s="236"/>
      <c r="E95" s="237"/>
      <c r="F95" s="238"/>
      <c r="G95" s="238"/>
      <c r="H95" s="238"/>
      <c r="I95" s="239"/>
      <c r="J95" s="239"/>
      <c r="K95" s="239"/>
      <c r="L95" s="239"/>
      <c r="M95" s="239"/>
      <c r="N95" s="239"/>
      <c r="O95" s="240"/>
    </row>
    <row r="96" spans="1:15" s="243" customFormat="1" thickBot="1" x14ac:dyDescent="0.25">
      <c r="A96" s="738" t="s">
        <v>1600</v>
      </c>
      <c r="B96" s="739"/>
      <c r="C96" s="739"/>
      <c r="D96" s="739"/>
      <c r="E96" s="739"/>
      <c r="F96" s="739"/>
      <c r="G96" s="739"/>
      <c r="H96" s="740"/>
      <c r="I96" s="242">
        <f t="shared" ref="I96:O96" si="8">+I10+I60+I94+I8</f>
        <v>19556604.439999998</v>
      </c>
      <c r="J96" s="270">
        <f t="shared" si="8"/>
        <v>1039275.48</v>
      </c>
      <c r="K96" s="242">
        <f t="shared" si="8"/>
        <v>1039275.48</v>
      </c>
      <c r="L96" s="270">
        <f t="shared" si="8"/>
        <v>193763.87</v>
      </c>
      <c r="M96" s="242">
        <f t="shared" si="8"/>
        <v>173763.87</v>
      </c>
      <c r="N96" s="242">
        <f t="shared" si="8"/>
        <v>0</v>
      </c>
      <c r="O96" s="242">
        <f t="shared" si="8"/>
        <v>17110525.740000002</v>
      </c>
    </row>
    <row r="97" spans="1:16" x14ac:dyDescent="0.45">
      <c r="J97" s="272" t="s">
        <v>1601</v>
      </c>
      <c r="K97" s="273"/>
      <c r="L97" s="272" t="s">
        <v>1602</v>
      </c>
    </row>
    <row r="98" spans="1:16" x14ac:dyDescent="0.45">
      <c r="H98" s="274" t="s">
        <v>1603</v>
      </c>
      <c r="I98" s="274"/>
      <c r="J98" s="274"/>
      <c r="K98" s="275"/>
      <c r="L98" s="274"/>
      <c r="M98" s="274"/>
      <c r="N98" s="276">
        <f>+J96+L96</f>
        <v>1233039.3500000001</v>
      </c>
    </row>
    <row r="99" spans="1:16" x14ac:dyDescent="0.45">
      <c r="A99" s="155"/>
      <c r="B99" s="173"/>
      <c r="C99" s="155"/>
      <c r="D99" s="155"/>
      <c r="E99" s="157"/>
      <c r="F99" s="113"/>
      <c r="G99" s="113"/>
      <c r="H99" s="206" t="s">
        <v>1604</v>
      </c>
      <c r="I99" s="206"/>
      <c r="K99" s="248"/>
      <c r="N99" s="275">
        <v>0</v>
      </c>
      <c r="O99" s="113"/>
      <c r="P99" s="113"/>
    </row>
    <row r="100" spans="1:16" ht="20.25" thickBot="1" x14ac:dyDescent="0.5">
      <c r="A100" s="155"/>
      <c r="B100" s="173"/>
      <c r="C100" s="155"/>
      <c r="D100" s="155"/>
      <c r="E100" s="157"/>
      <c r="F100" s="113"/>
      <c r="G100" s="113"/>
      <c r="H100" s="274" t="s">
        <v>1605</v>
      </c>
      <c r="I100" s="274"/>
      <c r="J100" s="274"/>
      <c r="K100" s="275"/>
      <c r="L100" s="274"/>
      <c r="M100" s="274"/>
      <c r="N100" s="277">
        <f>+N98-N99</f>
        <v>1233039.3500000001</v>
      </c>
      <c r="O100" s="113"/>
      <c r="P100" s="113"/>
    </row>
    <row r="101" spans="1:16" ht="21" thickTop="1" thickBot="1" x14ac:dyDescent="0.5">
      <c r="A101" s="155"/>
      <c r="B101" s="173"/>
      <c r="C101" s="155"/>
      <c r="D101" s="155"/>
      <c r="E101" s="157"/>
      <c r="F101" s="113"/>
      <c r="G101" s="113"/>
      <c r="H101" s="113"/>
      <c r="I101" s="158"/>
      <c r="J101" s="113"/>
      <c r="K101" s="113"/>
      <c r="L101" s="113"/>
      <c r="M101" s="113"/>
      <c r="N101" s="113"/>
      <c r="O101" s="113"/>
      <c r="P101" s="113"/>
    </row>
    <row r="102" spans="1:16" x14ac:dyDescent="0.45">
      <c r="A102" s="155"/>
      <c r="B102" s="278"/>
      <c r="C102" s="279"/>
      <c r="D102" s="280"/>
      <c r="E102" s="280"/>
      <c r="F102" s="281"/>
      <c r="G102" s="281"/>
      <c r="H102" s="282"/>
      <c r="I102" s="158"/>
      <c r="J102" s="113"/>
      <c r="K102" s="113"/>
      <c r="L102" s="113"/>
      <c r="M102" s="113"/>
      <c r="N102" s="113"/>
      <c r="O102" s="113"/>
      <c r="P102" s="113"/>
    </row>
    <row r="103" spans="1:16" x14ac:dyDescent="0.45">
      <c r="A103" s="155"/>
      <c r="B103" s="283" t="s">
        <v>1606</v>
      </c>
      <c r="C103" s="284"/>
      <c r="D103" s="285"/>
      <c r="E103" s="285"/>
      <c r="F103" s="286"/>
      <c r="G103" s="286"/>
      <c r="H103" s="287"/>
      <c r="I103" s="158"/>
      <c r="J103" s="113"/>
      <c r="K103" s="113"/>
      <c r="L103" s="113"/>
      <c r="M103" s="113"/>
      <c r="N103" s="113"/>
      <c r="O103" s="113"/>
      <c r="P103" s="113"/>
    </row>
    <row r="104" spans="1:16" x14ac:dyDescent="0.45">
      <c r="A104" s="155"/>
      <c r="B104" s="288" t="s">
        <v>1607</v>
      </c>
      <c r="C104" s="284"/>
      <c r="D104" s="285"/>
      <c r="E104" s="285"/>
      <c r="F104" s="286"/>
      <c r="G104" s="286"/>
      <c r="H104" s="287"/>
      <c r="I104" s="158"/>
      <c r="J104" s="113"/>
      <c r="K104" s="113"/>
      <c r="L104" s="113"/>
      <c r="M104" s="113"/>
      <c r="N104" s="113"/>
      <c r="O104" s="113"/>
      <c r="P104" s="113"/>
    </row>
    <row r="105" spans="1:16" x14ac:dyDescent="0.45">
      <c r="A105" s="155"/>
      <c r="B105" s="288" t="s">
        <v>1608</v>
      </c>
      <c r="C105" s="284"/>
      <c r="D105" s="285"/>
      <c r="E105" s="285"/>
      <c r="F105" s="289">
        <f>+J96+L96</f>
        <v>1233039.3500000001</v>
      </c>
      <c r="G105" s="286"/>
      <c r="H105" s="287"/>
      <c r="I105" s="158"/>
      <c r="J105" s="113"/>
      <c r="K105" s="113"/>
      <c r="L105" s="113"/>
      <c r="M105" s="113"/>
      <c r="N105" s="113"/>
      <c r="O105" s="113"/>
      <c r="P105" s="113"/>
    </row>
    <row r="106" spans="1:16" x14ac:dyDescent="0.45">
      <c r="A106" s="155"/>
      <c r="B106" s="288" t="s">
        <v>1609</v>
      </c>
      <c r="C106" s="284"/>
      <c r="D106" s="285"/>
      <c r="E106" s="285"/>
      <c r="F106" s="286"/>
      <c r="G106" s="289">
        <f>+J96+L96</f>
        <v>1233039.3500000001</v>
      </c>
      <c r="H106" s="287"/>
      <c r="I106" s="158"/>
      <c r="J106" s="113"/>
      <c r="K106" s="113"/>
      <c r="L106" s="113"/>
      <c r="M106" s="113"/>
      <c r="N106" s="113"/>
      <c r="O106" s="113"/>
      <c r="P106" s="113"/>
    </row>
    <row r="107" spans="1:16" x14ac:dyDescent="0.45">
      <c r="A107" s="155"/>
      <c r="B107" s="290"/>
      <c r="C107" s="284"/>
      <c r="D107" s="285"/>
      <c r="E107" s="285"/>
      <c r="F107" s="286"/>
      <c r="G107" s="286"/>
      <c r="H107" s="287"/>
      <c r="I107" s="158"/>
      <c r="J107" s="113"/>
      <c r="K107" s="113"/>
      <c r="L107" s="113"/>
      <c r="M107" s="113"/>
      <c r="N107" s="113"/>
      <c r="O107" s="113"/>
      <c r="P107" s="113"/>
    </row>
    <row r="108" spans="1:16" x14ac:dyDescent="0.45">
      <c r="A108" s="155"/>
      <c r="B108" s="288" t="s">
        <v>1610</v>
      </c>
      <c r="C108" s="284"/>
      <c r="D108" s="285"/>
      <c r="E108" s="285"/>
      <c r="F108" s="286"/>
      <c r="G108" s="286"/>
      <c r="H108" s="287"/>
      <c r="I108" s="158"/>
      <c r="J108" s="113"/>
      <c r="K108" s="113"/>
      <c r="L108" s="113"/>
      <c r="M108" s="113"/>
      <c r="N108" s="113"/>
      <c r="O108" s="113"/>
      <c r="P108" s="113"/>
    </row>
    <row r="109" spans="1:16" x14ac:dyDescent="0.45">
      <c r="A109" s="155"/>
      <c r="B109" s="288" t="s">
        <v>1611</v>
      </c>
      <c r="C109" s="284"/>
      <c r="D109" s="285"/>
      <c r="E109" s="285"/>
      <c r="F109" s="289">
        <f>+J96+L96</f>
        <v>1233039.3500000001</v>
      </c>
      <c r="G109" s="286"/>
      <c r="H109" s="287"/>
      <c r="I109" s="158"/>
      <c r="J109" s="113"/>
      <c r="K109" s="113"/>
      <c r="L109" s="113"/>
      <c r="M109" s="113"/>
      <c r="N109" s="113"/>
      <c r="O109" s="113"/>
      <c r="P109" s="113"/>
    </row>
    <row r="110" spans="1:16" x14ac:dyDescent="0.45">
      <c r="A110" s="155"/>
      <c r="B110" s="288" t="s">
        <v>1612</v>
      </c>
      <c r="C110" s="284"/>
      <c r="D110" s="285"/>
      <c r="E110" s="285"/>
      <c r="F110" s="286"/>
      <c r="G110" s="289">
        <f>+J96+L96</f>
        <v>1233039.3500000001</v>
      </c>
      <c r="H110" s="287"/>
      <c r="I110" s="158"/>
      <c r="J110" s="113"/>
      <c r="K110" s="113"/>
      <c r="L110" s="113"/>
      <c r="M110" s="113"/>
      <c r="N110" s="113"/>
      <c r="O110" s="113"/>
      <c r="P110" s="113"/>
    </row>
    <row r="111" spans="1:16" x14ac:dyDescent="0.45">
      <c r="A111" s="155"/>
      <c r="B111" s="290"/>
      <c r="C111" s="284"/>
      <c r="D111" s="285"/>
      <c r="E111" s="285"/>
      <c r="F111" s="286"/>
      <c r="G111" s="286"/>
      <c r="H111" s="287"/>
      <c r="I111" s="158"/>
      <c r="J111" s="113"/>
      <c r="K111" s="113"/>
      <c r="L111" s="113"/>
      <c r="M111" s="113"/>
      <c r="N111" s="113"/>
      <c r="O111" s="113"/>
      <c r="P111" s="113"/>
    </row>
    <row r="112" spans="1:16" x14ac:dyDescent="0.45">
      <c r="A112" s="155"/>
      <c r="B112" s="288" t="s">
        <v>1613</v>
      </c>
      <c r="C112" s="284"/>
      <c r="D112" s="285"/>
      <c r="E112" s="285"/>
      <c r="F112" s="286"/>
      <c r="G112" s="286"/>
      <c r="H112" s="287"/>
      <c r="I112" s="158"/>
      <c r="J112" s="113"/>
      <c r="K112" s="113"/>
      <c r="L112" s="113"/>
      <c r="M112" s="113"/>
      <c r="N112" s="113"/>
      <c r="O112" s="113"/>
      <c r="P112" s="113"/>
    </row>
    <row r="113" spans="1:16" x14ac:dyDescent="0.45">
      <c r="A113" s="155"/>
      <c r="B113" s="288" t="s">
        <v>1614</v>
      </c>
      <c r="C113" s="284"/>
      <c r="D113" s="285"/>
      <c r="E113" s="285"/>
      <c r="F113" s="289">
        <f>+F109</f>
        <v>1233039.3500000001</v>
      </c>
      <c r="G113" s="286"/>
      <c r="H113" s="287"/>
      <c r="I113" s="158"/>
      <c r="J113" s="113"/>
      <c r="K113" s="113"/>
      <c r="L113" s="113"/>
      <c r="M113" s="113"/>
      <c r="N113" s="113"/>
      <c r="O113" s="113"/>
      <c r="P113" s="113"/>
    </row>
    <row r="114" spans="1:16" x14ac:dyDescent="0.45">
      <c r="A114" s="155"/>
      <c r="B114" s="288" t="s">
        <v>1615</v>
      </c>
      <c r="C114" s="284"/>
      <c r="D114" s="285"/>
      <c r="E114" s="285"/>
      <c r="F114" s="286"/>
      <c r="G114" s="289">
        <f>+G110</f>
        <v>1233039.3500000001</v>
      </c>
      <c r="H114" s="287"/>
      <c r="I114" s="158"/>
      <c r="J114" s="113"/>
      <c r="K114" s="113"/>
      <c r="L114" s="113"/>
      <c r="M114" s="113"/>
      <c r="N114" s="113"/>
      <c r="O114" s="113"/>
      <c r="P114" s="113"/>
    </row>
    <row r="115" spans="1:16" x14ac:dyDescent="0.45">
      <c r="A115" s="155"/>
      <c r="B115" s="288"/>
      <c r="C115" s="284"/>
      <c r="D115" s="285"/>
      <c r="E115" s="285"/>
      <c r="F115" s="286"/>
      <c r="G115" s="286"/>
      <c r="H115" s="287"/>
      <c r="I115" s="158"/>
      <c r="J115" s="113"/>
      <c r="K115" s="113"/>
      <c r="L115" s="113"/>
      <c r="M115" s="113"/>
      <c r="N115" s="113"/>
      <c r="O115" s="113"/>
      <c r="P115" s="113"/>
    </row>
    <row r="116" spans="1:16" x14ac:dyDescent="0.45">
      <c r="A116" s="155"/>
      <c r="B116" s="283" t="s">
        <v>1616</v>
      </c>
      <c r="C116" s="284"/>
      <c r="D116" s="285"/>
      <c r="E116" s="285"/>
      <c r="F116" s="286"/>
      <c r="G116" s="286"/>
      <c r="H116" s="287"/>
      <c r="I116" s="158"/>
      <c r="J116" s="113"/>
      <c r="K116" s="113"/>
      <c r="L116" s="113"/>
      <c r="M116" s="113"/>
      <c r="N116" s="113"/>
      <c r="O116" s="113"/>
      <c r="P116" s="113"/>
    </row>
    <row r="117" spans="1:16" x14ac:dyDescent="0.45">
      <c r="A117" s="155"/>
      <c r="B117" s="283" t="s">
        <v>1617</v>
      </c>
      <c r="C117" s="284"/>
      <c r="D117" s="285"/>
      <c r="E117" s="285"/>
      <c r="F117" s="286"/>
      <c r="G117" s="286"/>
      <c r="H117" s="287"/>
      <c r="I117" s="158"/>
      <c r="J117" s="113"/>
      <c r="K117" s="113"/>
      <c r="L117" s="113"/>
      <c r="M117" s="113"/>
      <c r="N117" s="113"/>
      <c r="O117" s="113"/>
      <c r="P117" s="113"/>
    </row>
    <row r="118" spans="1:16" x14ac:dyDescent="0.45">
      <c r="A118" s="155"/>
      <c r="B118" s="283" t="s">
        <v>1618</v>
      </c>
      <c r="C118" s="284"/>
      <c r="D118" s="285"/>
      <c r="E118" s="285"/>
      <c r="F118" s="286"/>
      <c r="G118" s="286"/>
      <c r="H118" s="287"/>
      <c r="I118" s="158"/>
      <c r="J118" s="113"/>
      <c r="K118" s="113"/>
      <c r="L118" s="113"/>
      <c r="M118" s="113"/>
      <c r="N118" s="113"/>
      <c r="O118" s="113"/>
      <c r="P118" s="113"/>
    </row>
    <row r="119" spans="1:16" x14ac:dyDescent="0.45">
      <c r="A119" s="155"/>
      <c r="B119" s="283" t="s">
        <v>1619</v>
      </c>
      <c r="C119" s="291" t="s">
        <v>1620</v>
      </c>
      <c r="D119" s="285"/>
      <c r="E119" s="285"/>
      <c r="F119" s="286"/>
      <c r="G119" s="286"/>
      <c r="H119" s="287"/>
      <c r="I119" s="158"/>
      <c r="J119" s="113"/>
      <c r="K119" s="113"/>
      <c r="L119" s="113"/>
      <c r="M119" s="113"/>
      <c r="N119" s="113"/>
      <c r="O119" s="113"/>
      <c r="P119" s="113"/>
    </row>
    <row r="120" spans="1:16" x14ac:dyDescent="0.45">
      <c r="A120" s="155"/>
      <c r="B120" s="283"/>
      <c r="C120" s="291" t="s">
        <v>1621</v>
      </c>
      <c r="D120" s="285"/>
      <c r="E120" s="285"/>
      <c r="F120" s="286"/>
      <c r="G120" s="286"/>
      <c r="H120" s="287"/>
      <c r="I120" s="158"/>
      <c r="J120" s="113"/>
      <c r="K120" s="113"/>
      <c r="L120" s="113"/>
      <c r="M120" s="113"/>
      <c r="N120" s="113"/>
      <c r="O120" s="113"/>
      <c r="P120" s="113"/>
    </row>
    <row r="121" spans="1:16" ht="20.25" thickBot="1" x14ac:dyDescent="0.5">
      <c r="A121" s="155"/>
      <c r="B121" s="292"/>
      <c r="C121" s="293"/>
      <c r="D121" s="294"/>
      <c r="E121" s="294"/>
      <c r="F121" s="295"/>
      <c r="G121" s="295"/>
      <c r="H121" s="296"/>
      <c r="I121" s="158"/>
      <c r="J121" s="113"/>
      <c r="K121" s="113"/>
      <c r="L121" s="113"/>
      <c r="M121" s="113"/>
      <c r="N121" s="113"/>
      <c r="O121" s="113"/>
      <c r="P121" s="113"/>
    </row>
    <row r="122" spans="1:16" x14ac:dyDescent="0.45">
      <c r="A122" s="155"/>
      <c r="B122" s="173"/>
      <c r="C122" s="155"/>
      <c r="D122" s="155"/>
      <c r="E122" s="157"/>
      <c r="F122" s="113"/>
      <c r="G122" s="113"/>
      <c r="H122" s="113"/>
      <c r="I122" s="158"/>
      <c r="J122" s="113"/>
      <c r="K122" s="113"/>
      <c r="L122" s="113"/>
      <c r="M122" s="113"/>
      <c r="N122" s="113"/>
      <c r="O122" s="113"/>
      <c r="P122" s="113"/>
    </row>
    <row r="123" spans="1:16" x14ac:dyDescent="0.45">
      <c r="A123" s="155"/>
      <c r="B123" s="173"/>
      <c r="C123" s="155"/>
      <c r="D123" s="155"/>
      <c r="E123" s="157"/>
      <c r="F123" s="113"/>
      <c r="G123" s="113"/>
      <c r="H123" s="113"/>
      <c r="I123" s="158"/>
      <c r="J123" s="113"/>
      <c r="K123" s="113"/>
      <c r="L123" s="113"/>
      <c r="M123" s="113"/>
      <c r="N123" s="113"/>
      <c r="O123" s="113"/>
      <c r="P123" s="113"/>
    </row>
    <row r="124" spans="1:16" x14ac:dyDescent="0.45">
      <c r="A124" s="155"/>
      <c r="B124" s="173"/>
      <c r="C124" s="155"/>
      <c r="D124" s="155"/>
      <c r="E124" s="157"/>
      <c r="F124" s="113"/>
      <c r="G124" s="113"/>
      <c r="H124" s="113"/>
      <c r="I124" s="158"/>
      <c r="J124" s="113"/>
      <c r="K124" s="113"/>
      <c r="L124" s="113"/>
      <c r="M124" s="113"/>
      <c r="N124" s="113"/>
      <c r="O124" s="113"/>
      <c r="P124" s="113"/>
    </row>
    <row r="125" spans="1:16" x14ac:dyDescent="0.45">
      <c r="A125" s="155"/>
      <c r="B125" s="173"/>
      <c r="C125" s="155"/>
      <c r="D125" s="155"/>
      <c r="E125" s="157"/>
      <c r="F125" s="113"/>
      <c r="G125" s="113"/>
      <c r="H125" s="113"/>
      <c r="I125" s="158"/>
      <c r="J125" s="113"/>
      <c r="K125" s="113"/>
      <c r="L125" s="113"/>
      <c r="M125" s="113"/>
      <c r="N125" s="113"/>
      <c r="O125" s="113"/>
      <c r="P125" s="113"/>
    </row>
    <row r="126" spans="1:16" x14ac:dyDescent="0.45">
      <c r="A126" s="155"/>
      <c r="B126" s="173"/>
      <c r="C126" s="155"/>
      <c r="D126" s="155"/>
      <c r="E126" s="157"/>
      <c r="F126" s="113"/>
      <c r="G126" s="113"/>
      <c r="H126" s="113"/>
      <c r="I126" s="158"/>
      <c r="J126" s="113"/>
      <c r="K126" s="113"/>
      <c r="L126" s="113"/>
      <c r="M126" s="113"/>
      <c r="N126" s="113"/>
      <c r="O126" s="113"/>
      <c r="P126" s="113"/>
    </row>
    <row r="127" spans="1:16" x14ac:dyDescent="0.45">
      <c r="A127" s="155"/>
      <c r="B127" s="173"/>
      <c r="C127" s="155"/>
      <c r="D127" s="155"/>
      <c r="E127" s="157"/>
      <c r="F127" s="113"/>
      <c r="G127" s="113"/>
      <c r="H127" s="113"/>
      <c r="I127" s="158"/>
      <c r="J127" s="113"/>
      <c r="K127" s="113"/>
      <c r="L127" s="113"/>
      <c r="M127" s="113"/>
      <c r="N127" s="113"/>
      <c r="O127" s="113"/>
      <c r="P127" s="113"/>
    </row>
    <row r="128" spans="1:16" x14ac:dyDescent="0.45">
      <c r="A128" s="155"/>
      <c r="B128" s="173"/>
      <c r="C128" s="155"/>
      <c r="D128" s="155"/>
      <c r="E128" s="157"/>
      <c r="F128" s="113"/>
      <c r="G128" s="113"/>
      <c r="H128" s="113"/>
      <c r="I128" s="158"/>
      <c r="J128" s="113"/>
      <c r="K128" s="113"/>
      <c r="L128" s="113"/>
      <c r="M128" s="113"/>
      <c r="N128" s="113"/>
      <c r="O128" s="113"/>
      <c r="P128" s="113"/>
    </row>
    <row r="129" spans="1:16" x14ac:dyDescent="0.45">
      <c r="A129" s="155"/>
      <c r="B129" s="173"/>
      <c r="C129" s="155"/>
      <c r="D129" s="155"/>
      <c r="E129" s="157"/>
      <c r="F129" s="113"/>
      <c r="G129" s="113"/>
      <c r="H129" s="113"/>
      <c r="I129" s="158"/>
      <c r="J129" s="113"/>
      <c r="K129" s="113"/>
      <c r="L129" s="113"/>
      <c r="M129" s="113"/>
      <c r="N129" s="113"/>
      <c r="O129" s="113"/>
      <c r="P129" s="113"/>
    </row>
    <row r="130" spans="1:16" x14ac:dyDescent="0.45">
      <c r="A130" s="155"/>
      <c r="B130" s="173"/>
      <c r="C130" s="155"/>
      <c r="D130" s="155"/>
      <c r="E130" s="157"/>
      <c r="F130" s="113"/>
      <c r="G130" s="113"/>
      <c r="H130" s="113"/>
      <c r="I130" s="158"/>
      <c r="J130" s="113"/>
      <c r="K130" s="113"/>
      <c r="L130" s="113"/>
      <c r="M130" s="113"/>
      <c r="N130" s="113"/>
      <c r="O130" s="113"/>
      <c r="P130" s="113"/>
    </row>
    <row r="131" spans="1:16" x14ac:dyDescent="0.45">
      <c r="A131" s="155"/>
      <c r="B131" s="173"/>
      <c r="C131" s="155"/>
      <c r="D131" s="155"/>
      <c r="E131" s="157"/>
      <c r="F131" s="113"/>
      <c r="G131" s="113"/>
      <c r="H131" s="113"/>
      <c r="I131" s="158"/>
      <c r="J131" s="113"/>
      <c r="K131" s="113"/>
      <c r="L131" s="113"/>
      <c r="M131" s="113"/>
      <c r="N131" s="113"/>
      <c r="O131" s="113"/>
      <c r="P131" s="113"/>
    </row>
    <row r="132" spans="1:16" x14ac:dyDescent="0.45">
      <c r="A132" s="155"/>
      <c r="B132" s="173"/>
      <c r="C132" s="155"/>
      <c r="D132" s="155"/>
      <c r="E132" s="157"/>
      <c r="F132" s="113"/>
      <c r="G132" s="113"/>
      <c r="H132" s="113"/>
      <c r="I132" s="158"/>
      <c r="J132" s="113"/>
      <c r="K132" s="113"/>
      <c r="L132" s="113"/>
      <c r="M132" s="113"/>
      <c r="N132" s="113"/>
      <c r="O132" s="113"/>
      <c r="P132" s="113"/>
    </row>
    <row r="133" spans="1:16" x14ac:dyDescent="0.45">
      <c r="A133" s="155"/>
      <c r="B133" s="173"/>
      <c r="C133" s="155"/>
      <c r="D133" s="155"/>
      <c r="E133" s="157"/>
      <c r="F133" s="113"/>
      <c r="G133" s="113"/>
      <c r="H133" s="113"/>
      <c r="I133" s="158"/>
      <c r="J133" s="113"/>
      <c r="K133" s="113"/>
      <c r="L133" s="113"/>
      <c r="M133" s="113"/>
      <c r="N133" s="113"/>
      <c r="O133" s="113"/>
      <c r="P133" s="113"/>
    </row>
    <row r="134" spans="1:16" x14ac:dyDescent="0.45">
      <c r="A134" s="155"/>
      <c r="B134" s="173"/>
      <c r="C134" s="155"/>
      <c r="D134" s="155"/>
      <c r="E134" s="157"/>
      <c r="F134" s="113"/>
      <c r="G134" s="113"/>
      <c r="H134" s="113"/>
      <c r="I134" s="158"/>
      <c r="J134" s="113"/>
      <c r="K134" s="113"/>
      <c r="L134" s="113"/>
      <c r="M134" s="113"/>
      <c r="N134" s="113"/>
      <c r="O134" s="113"/>
      <c r="P134" s="113"/>
    </row>
    <row r="135" spans="1:16" x14ac:dyDescent="0.45">
      <c r="A135" s="155"/>
      <c r="B135" s="173"/>
      <c r="C135" s="155"/>
      <c r="D135" s="155"/>
      <c r="E135" s="157"/>
      <c r="F135" s="113"/>
      <c r="G135" s="113"/>
      <c r="H135" s="113"/>
      <c r="I135" s="158"/>
      <c r="J135" s="113"/>
      <c r="K135" s="113"/>
      <c r="L135" s="113"/>
      <c r="M135" s="113"/>
      <c r="N135" s="113"/>
      <c r="O135" s="113"/>
      <c r="P135" s="113"/>
    </row>
    <row r="136" spans="1:16" x14ac:dyDescent="0.45">
      <c r="A136" s="155"/>
      <c r="B136" s="173"/>
      <c r="C136" s="155"/>
      <c r="D136" s="155"/>
      <c r="E136" s="157"/>
      <c r="F136" s="113"/>
      <c r="G136" s="113"/>
      <c r="H136" s="113"/>
      <c r="I136" s="158"/>
      <c r="J136" s="113"/>
      <c r="K136" s="113"/>
      <c r="L136" s="113"/>
      <c r="M136" s="113"/>
      <c r="N136" s="113"/>
      <c r="O136" s="113"/>
      <c r="P136" s="113"/>
    </row>
    <row r="137" spans="1:16" x14ac:dyDescent="0.45">
      <c r="A137" s="155"/>
      <c r="B137" s="173"/>
      <c r="C137" s="155"/>
      <c r="D137" s="155"/>
      <c r="E137" s="157"/>
      <c r="F137" s="113"/>
      <c r="G137" s="113"/>
      <c r="H137" s="113"/>
      <c r="I137" s="158"/>
      <c r="J137" s="113"/>
      <c r="K137" s="113"/>
      <c r="L137" s="113"/>
      <c r="M137" s="113"/>
      <c r="N137" s="113"/>
      <c r="O137" s="113"/>
      <c r="P137" s="113"/>
    </row>
    <row r="138" spans="1:16" x14ac:dyDescent="0.45">
      <c r="A138" s="155"/>
      <c r="B138" s="173"/>
      <c r="C138" s="155"/>
      <c r="D138" s="155"/>
      <c r="E138" s="157"/>
      <c r="F138" s="113"/>
      <c r="G138" s="113"/>
      <c r="H138" s="113"/>
      <c r="I138" s="158"/>
      <c r="J138" s="113"/>
      <c r="K138" s="113"/>
      <c r="L138" s="113"/>
      <c r="M138" s="113"/>
      <c r="N138" s="113"/>
      <c r="O138" s="113"/>
      <c r="P138" s="113"/>
    </row>
    <row r="139" spans="1:16" x14ac:dyDescent="0.45">
      <c r="A139" s="155"/>
      <c r="B139" s="173"/>
      <c r="C139" s="155"/>
      <c r="D139" s="155"/>
      <c r="E139" s="157"/>
      <c r="F139" s="113"/>
      <c r="G139" s="113"/>
      <c r="H139" s="113"/>
      <c r="I139" s="158"/>
      <c r="J139" s="113"/>
      <c r="K139" s="113"/>
      <c r="L139" s="113"/>
      <c r="M139" s="113"/>
      <c r="N139" s="113"/>
      <c r="O139" s="113"/>
      <c r="P139" s="113"/>
    </row>
    <row r="140" spans="1:16" x14ac:dyDescent="0.45">
      <c r="A140" s="155"/>
      <c r="B140" s="173"/>
      <c r="C140" s="155"/>
      <c r="D140" s="155"/>
      <c r="E140" s="157"/>
      <c r="F140" s="113"/>
      <c r="G140" s="113"/>
      <c r="H140" s="113"/>
      <c r="I140" s="158"/>
      <c r="J140" s="113"/>
      <c r="K140" s="113"/>
      <c r="L140" s="113"/>
      <c r="M140" s="113"/>
      <c r="N140" s="113"/>
      <c r="O140" s="113"/>
      <c r="P140" s="113"/>
    </row>
    <row r="141" spans="1:16" x14ac:dyDescent="0.45">
      <c r="A141" s="155"/>
      <c r="B141" s="173"/>
      <c r="C141" s="155"/>
      <c r="D141" s="155"/>
      <c r="E141" s="157"/>
      <c r="F141" s="113"/>
      <c r="G141" s="113"/>
      <c r="H141" s="113"/>
      <c r="I141" s="158"/>
      <c r="J141" s="113"/>
      <c r="K141" s="113"/>
      <c r="L141" s="113"/>
      <c r="M141" s="113"/>
      <c r="N141" s="113"/>
      <c r="O141" s="113"/>
      <c r="P141" s="113"/>
    </row>
    <row r="142" spans="1:16" x14ac:dyDescent="0.45">
      <c r="A142" s="155"/>
      <c r="B142" s="173"/>
      <c r="C142" s="155"/>
      <c r="D142" s="155"/>
      <c r="E142" s="157"/>
      <c r="F142" s="113"/>
      <c r="G142" s="113"/>
      <c r="H142" s="113"/>
      <c r="I142" s="158"/>
      <c r="J142" s="113"/>
      <c r="K142" s="113"/>
      <c r="L142" s="113"/>
      <c r="M142" s="113"/>
      <c r="N142" s="113"/>
      <c r="O142" s="113"/>
      <c r="P142" s="113"/>
    </row>
    <row r="143" spans="1:16" x14ac:dyDescent="0.45">
      <c r="A143" s="155"/>
      <c r="B143" s="173"/>
      <c r="C143" s="155"/>
      <c r="D143" s="155"/>
      <c r="E143" s="157"/>
      <c r="F143" s="113"/>
      <c r="G143" s="113"/>
      <c r="H143" s="113"/>
      <c r="I143" s="158"/>
      <c r="J143" s="113"/>
      <c r="K143" s="113"/>
      <c r="L143" s="113"/>
      <c r="M143" s="113"/>
      <c r="N143" s="113"/>
      <c r="O143" s="113"/>
      <c r="P143" s="113"/>
    </row>
    <row r="144" spans="1:16" x14ac:dyDescent="0.45">
      <c r="A144" s="155"/>
      <c r="B144" s="173"/>
      <c r="C144" s="155"/>
      <c r="D144" s="155"/>
      <c r="E144" s="157"/>
      <c r="F144" s="113"/>
      <c r="G144" s="113"/>
      <c r="H144" s="113"/>
      <c r="I144" s="158"/>
      <c r="J144" s="113"/>
      <c r="K144" s="113"/>
      <c r="L144" s="113"/>
      <c r="M144" s="113"/>
      <c r="N144" s="113"/>
      <c r="O144" s="113"/>
      <c r="P144" s="113"/>
    </row>
    <row r="145" spans="1:16" x14ac:dyDescent="0.45">
      <c r="A145" s="155"/>
      <c r="B145" s="173"/>
      <c r="C145" s="155"/>
      <c r="D145" s="155"/>
      <c r="E145" s="157"/>
      <c r="F145" s="113"/>
      <c r="G145" s="113"/>
      <c r="H145" s="113"/>
      <c r="I145" s="158"/>
      <c r="J145" s="113"/>
      <c r="K145" s="113"/>
      <c r="L145" s="113"/>
      <c r="M145" s="113"/>
      <c r="N145" s="113"/>
      <c r="O145" s="113"/>
      <c r="P145" s="113"/>
    </row>
    <row r="146" spans="1:16" x14ac:dyDescent="0.45">
      <c r="A146" s="155"/>
      <c r="B146" s="173"/>
      <c r="C146" s="155"/>
      <c r="D146" s="155"/>
      <c r="E146" s="157"/>
      <c r="F146" s="113"/>
      <c r="G146" s="113"/>
      <c r="H146" s="113"/>
      <c r="I146" s="158"/>
      <c r="J146" s="113"/>
      <c r="K146" s="113"/>
      <c r="L146" s="113"/>
      <c r="M146" s="113"/>
      <c r="N146" s="113"/>
      <c r="O146" s="113"/>
      <c r="P146" s="113"/>
    </row>
    <row r="147" spans="1:16" x14ac:dyDescent="0.45">
      <c r="A147" s="155"/>
      <c r="B147" s="173"/>
      <c r="C147" s="155"/>
      <c r="D147" s="155"/>
      <c r="E147" s="157"/>
      <c r="F147" s="113"/>
      <c r="G147" s="113"/>
      <c r="H147" s="113"/>
      <c r="I147" s="158"/>
      <c r="J147" s="113"/>
      <c r="K147" s="113"/>
      <c r="L147" s="113"/>
      <c r="M147" s="113"/>
      <c r="N147" s="113"/>
      <c r="O147" s="113"/>
      <c r="P147" s="113"/>
    </row>
    <row r="148" spans="1:16" x14ac:dyDescent="0.45">
      <c r="A148" s="155"/>
      <c r="B148" s="173"/>
      <c r="C148" s="155"/>
      <c r="D148" s="155"/>
      <c r="E148" s="157"/>
      <c r="F148" s="113"/>
      <c r="G148" s="113"/>
      <c r="H148" s="113"/>
      <c r="I148" s="158"/>
      <c r="J148" s="113"/>
      <c r="K148" s="113"/>
      <c r="L148" s="113"/>
      <c r="M148" s="113"/>
      <c r="N148" s="113"/>
      <c r="O148" s="113"/>
      <c r="P148" s="113"/>
    </row>
    <row r="149" spans="1:16" x14ac:dyDescent="0.45">
      <c r="A149" s="155"/>
      <c r="B149" s="173"/>
      <c r="C149" s="155"/>
      <c r="D149" s="155"/>
      <c r="E149" s="157"/>
      <c r="F149" s="113"/>
      <c r="G149" s="113"/>
      <c r="H149" s="113"/>
      <c r="I149" s="158"/>
      <c r="J149" s="113"/>
      <c r="K149" s="113"/>
      <c r="L149" s="113"/>
      <c r="M149" s="113"/>
      <c r="N149" s="113"/>
      <c r="O149" s="113"/>
      <c r="P149" s="113"/>
    </row>
    <row r="150" spans="1:16" x14ac:dyDescent="0.45">
      <c r="A150" s="155"/>
      <c r="B150" s="173"/>
      <c r="C150" s="155"/>
      <c r="D150" s="155"/>
      <c r="E150" s="157"/>
      <c r="F150" s="113"/>
      <c r="G150" s="113"/>
      <c r="H150" s="113"/>
      <c r="I150" s="158"/>
      <c r="J150" s="113"/>
      <c r="K150" s="113"/>
      <c r="L150" s="113"/>
      <c r="M150" s="113"/>
      <c r="N150" s="113"/>
      <c r="O150" s="113"/>
      <c r="P150" s="113"/>
    </row>
    <row r="151" spans="1:16" x14ac:dyDescent="0.45">
      <c r="A151" s="155"/>
      <c r="B151" s="173"/>
      <c r="C151" s="155"/>
      <c r="D151" s="155"/>
      <c r="E151" s="157"/>
      <c r="F151" s="113"/>
      <c r="G151" s="113"/>
      <c r="H151" s="113"/>
      <c r="I151" s="158"/>
      <c r="J151" s="113"/>
      <c r="K151" s="113"/>
      <c r="L151" s="113"/>
      <c r="M151" s="113"/>
      <c r="N151" s="113"/>
      <c r="O151" s="113"/>
      <c r="P151" s="113"/>
    </row>
    <row r="152" spans="1:16" x14ac:dyDescent="0.45">
      <c r="A152" s="155"/>
      <c r="B152" s="173"/>
      <c r="C152" s="155"/>
      <c r="D152" s="155"/>
      <c r="E152" s="157"/>
      <c r="F152" s="113"/>
      <c r="G152" s="113"/>
      <c r="H152" s="113"/>
      <c r="I152" s="158"/>
      <c r="J152" s="113"/>
      <c r="K152" s="113"/>
      <c r="L152" s="113"/>
      <c r="M152" s="113"/>
      <c r="N152" s="113"/>
      <c r="O152" s="113"/>
      <c r="P152" s="113"/>
    </row>
    <row r="153" spans="1:16" x14ac:dyDescent="0.45">
      <c r="A153" s="155"/>
      <c r="B153" s="173"/>
      <c r="C153" s="155"/>
      <c r="D153" s="155"/>
      <c r="E153" s="157"/>
      <c r="F153" s="113"/>
      <c r="G153" s="113"/>
      <c r="H153" s="113"/>
      <c r="I153" s="158"/>
      <c r="J153" s="113"/>
      <c r="K153" s="113"/>
      <c r="L153" s="113"/>
      <c r="M153" s="113"/>
      <c r="N153" s="113"/>
      <c r="O153" s="113"/>
      <c r="P153" s="113"/>
    </row>
    <row r="154" spans="1:16" x14ac:dyDescent="0.45">
      <c r="A154" s="155"/>
      <c r="B154" s="173"/>
      <c r="C154" s="155"/>
      <c r="D154" s="155"/>
      <c r="E154" s="157"/>
      <c r="F154" s="113"/>
      <c r="G154" s="113"/>
      <c r="H154" s="113"/>
      <c r="I154" s="158"/>
      <c r="J154" s="113"/>
      <c r="K154" s="113"/>
      <c r="L154" s="113"/>
      <c r="M154" s="113"/>
      <c r="N154" s="113"/>
      <c r="O154" s="113"/>
      <c r="P154" s="113"/>
    </row>
    <row r="155" spans="1:16" x14ac:dyDescent="0.45">
      <c r="A155" s="155"/>
      <c r="B155" s="173"/>
      <c r="C155" s="155"/>
      <c r="D155" s="155"/>
      <c r="E155" s="157"/>
      <c r="F155" s="113"/>
      <c r="G155" s="113"/>
      <c r="H155" s="113"/>
      <c r="I155" s="158"/>
      <c r="J155" s="113"/>
      <c r="K155" s="113"/>
      <c r="L155" s="113"/>
      <c r="M155" s="113"/>
      <c r="N155" s="113"/>
      <c r="O155" s="113"/>
      <c r="P155" s="113"/>
    </row>
    <row r="156" spans="1:16" x14ac:dyDescent="0.45">
      <c r="A156" s="155"/>
      <c r="B156" s="173"/>
      <c r="C156" s="155"/>
      <c r="D156" s="155"/>
      <c r="E156" s="157"/>
      <c r="F156" s="113"/>
      <c r="G156" s="113"/>
      <c r="H156" s="113"/>
      <c r="I156" s="158"/>
      <c r="J156" s="113"/>
      <c r="K156" s="113"/>
      <c r="L156" s="113"/>
      <c r="M156" s="113"/>
      <c r="N156" s="113"/>
      <c r="O156" s="113"/>
      <c r="P156" s="113"/>
    </row>
    <row r="157" spans="1:16" x14ac:dyDescent="0.45">
      <c r="A157" s="155"/>
      <c r="B157" s="173"/>
      <c r="C157" s="155"/>
      <c r="D157" s="155"/>
      <c r="E157" s="157"/>
      <c r="F157" s="113"/>
      <c r="G157" s="113"/>
      <c r="H157" s="113"/>
      <c r="I157" s="158"/>
      <c r="J157" s="113"/>
      <c r="K157" s="113"/>
      <c r="L157" s="113"/>
      <c r="M157" s="113"/>
      <c r="N157" s="113"/>
      <c r="O157" s="113"/>
      <c r="P157" s="113"/>
    </row>
    <row r="158" spans="1:16" x14ac:dyDescent="0.45">
      <c r="A158" s="155"/>
      <c r="B158" s="173"/>
      <c r="C158" s="155"/>
      <c r="D158" s="155"/>
      <c r="E158" s="157"/>
      <c r="F158" s="113"/>
      <c r="G158" s="113"/>
      <c r="H158" s="113"/>
      <c r="I158" s="158"/>
      <c r="J158" s="113"/>
      <c r="K158" s="113"/>
      <c r="L158" s="113"/>
      <c r="M158" s="113"/>
      <c r="N158" s="113"/>
      <c r="O158" s="113"/>
      <c r="P158" s="113"/>
    </row>
    <row r="159" spans="1:16" x14ac:dyDescent="0.45">
      <c r="A159" s="155"/>
      <c r="B159" s="173"/>
      <c r="C159" s="155"/>
      <c r="D159" s="155"/>
      <c r="E159" s="157"/>
      <c r="F159" s="113"/>
      <c r="G159" s="113"/>
      <c r="H159" s="113"/>
      <c r="I159" s="158"/>
      <c r="J159" s="113"/>
      <c r="K159" s="113"/>
      <c r="L159" s="113"/>
      <c r="M159" s="113"/>
      <c r="N159" s="113"/>
      <c r="O159" s="113"/>
      <c r="P159" s="113"/>
    </row>
    <row r="160" spans="1:16" x14ac:dyDescent="0.45">
      <c r="A160" s="155"/>
      <c r="B160" s="173"/>
      <c r="C160" s="155"/>
      <c r="D160" s="155"/>
      <c r="E160" s="157"/>
      <c r="F160" s="113"/>
      <c r="G160" s="113"/>
      <c r="H160" s="113"/>
      <c r="I160" s="158"/>
      <c r="J160" s="113"/>
      <c r="K160" s="113"/>
      <c r="L160" s="113"/>
      <c r="M160" s="113"/>
      <c r="N160" s="113"/>
      <c r="O160" s="113"/>
      <c r="P160" s="113"/>
    </row>
    <row r="161" spans="1:16" x14ac:dyDescent="0.45">
      <c r="A161" s="155"/>
      <c r="B161" s="173"/>
      <c r="C161" s="155"/>
      <c r="D161" s="155"/>
      <c r="E161" s="157"/>
      <c r="F161" s="113"/>
      <c r="G161" s="113"/>
      <c r="H161" s="113"/>
      <c r="I161" s="158"/>
      <c r="J161" s="113"/>
      <c r="K161" s="113"/>
      <c r="L161" s="113"/>
      <c r="M161" s="113"/>
      <c r="N161" s="113"/>
      <c r="O161" s="113"/>
      <c r="P161" s="113"/>
    </row>
    <row r="162" spans="1:16" x14ac:dyDescent="0.45">
      <c r="A162" s="155"/>
      <c r="B162" s="173"/>
      <c r="C162" s="155"/>
      <c r="D162" s="155"/>
      <c r="E162" s="157"/>
      <c r="F162" s="113"/>
      <c r="G162" s="113"/>
      <c r="H162" s="113"/>
      <c r="I162" s="158"/>
      <c r="J162" s="113"/>
      <c r="K162" s="113"/>
      <c r="L162" s="113"/>
      <c r="M162" s="113"/>
      <c r="N162" s="113"/>
      <c r="O162" s="113"/>
      <c r="P162" s="113"/>
    </row>
    <row r="163" spans="1:16" x14ac:dyDescent="0.45">
      <c r="A163" s="155"/>
      <c r="B163" s="173"/>
      <c r="C163" s="155"/>
      <c r="D163" s="155"/>
      <c r="E163" s="157"/>
      <c r="F163" s="113"/>
      <c r="G163" s="113"/>
      <c r="H163" s="113"/>
      <c r="I163" s="158"/>
      <c r="J163" s="113"/>
      <c r="K163" s="113"/>
      <c r="L163" s="113"/>
      <c r="M163" s="113"/>
      <c r="N163" s="113"/>
      <c r="O163" s="113"/>
      <c r="P163" s="113"/>
    </row>
    <row r="164" spans="1:16" x14ac:dyDescent="0.45">
      <c r="A164" s="155"/>
      <c r="B164" s="173"/>
      <c r="C164" s="155"/>
      <c r="D164" s="155"/>
      <c r="E164" s="157"/>
      <c r="F164" s="113"/>
      <c r="G164" s="113"/>
      <c r="H164" s="113"/>
      <c r="I164" s="158"/>
      <c r="J164" s="113"/>
      <c r="K164" s="113"/>
      <c r="L164" s="113"/>
      <c r="M164" s="113"/>
      <c r="N164" s="113"/>
      <c r="O164" s="113"/>
      <c r="P164" s="113"/>
    </row>
    <row r="165" spans="1:16" x14ac:dyDescent="0.45">
      <c r="A165" s="155"/>
      <c r="B165" s="173"/>
      <c r="C165" s="155"/>
      <c r="D165" s="155"/>
      <c r="E165" s="157"/>
      <c r="F165" s="113"/>
      <c r="G165" s="113"/>
      <c r="H165" s="113"/>
      <c r="I165" s="158"/>
      <c r="J165" s="113"/>
      <c r="K165" s="113"/>
      <c r="L165" s="113"/>
      <c r="M165" s="113"/>
      <c r="N165" s="113"/>
      <c r="O165" s="113"/>
      <c r="P165" s="113"/>
    </row>
    <row r="166" spans="1:16" x14ac:dyDescent="0.45">
      <c r="A166" s="155"/>
      <c r="B166" s="173"/>
      <c r="C166" s="155"/>
      <c r="D166" s="155"/>
      <c r="E166" s="157"/>
      <c r="F166" s="113"/>
      <c r="G166" s="113"/>
      <c r="H166" s="113"/>
      <c r="I166" s="158"/>
      <c r="J166" s="113"/>
      <c r="K166" s="113"/>
      <c r="L166" s="113"/>
      <c r="M166" s="113"/>
      <c r="N166" s="113"/>
      <c r="O166" s="113"/>
      <c r="P166" s="113"/>
    </row>
    <row r="167" spans="1:16" x14ac:dyDescent="0.45">
      <c r="A167" s="155"/>
      <c r="B167" s="173"/>
      <c r="C167" s="155"/>
      <c r="D167" s="155"/>
      <c r="E167" s="157"/>
      <c r="F167" s="113"/>
      <c r="G167" s="113"/>
      <c r="H167" s="113"/>
      <c r="I167" s="158"/>
      <c r="J167" s="113"/>
      <c r="K167" s="113"/>
      <c r="L167" s="113"/>
      <c r="M167" s="113"/>
      <c r="N167" s="113"/>
      <c r="O167" s="113"/>
      <c r="P167" s="113"/>
    </row>
    <row r="168" spans="1:16" x14ac:dyDescent="0.45">
      <c r="A168" s="155"/>
      <c r="B168" s="173"/>
      <c r="C168" s="155"/>
      <c r="D168" s="155"/>
      <c r="E168" s="157"/>
      <c r="F168" s="113"/>
      <c r="G168" s="113"/>
      <c r="H168" s="113"/>
      <c r="I168" s="158"/>
      <c r="J168" s="113"/>
      <c r="K168" s="113"/>
      <c r="L168" s="113"/>
      <c r="M168" s="113"/>
      <c r="N168" s="113"/>
      <c r="O168" s="113"/>
      <c r="P168" s="113"/>
    </row>
    <row r="169" spans="1:16" x14ac:dyDescent="0.45">
      <c r="A169" s="155"/>
      <c r="B169" s="173"/>
      <c r="C169" s="155"/>
      <c r="D169" s="155"/>
      <c r="E169" s="157"/>
      <c r="F169" s="113"/>
      <c r="G169" s="113"/>
      <c r="H169" s="113"/>
      <c r="I169" s="158"/>
      <c r="J169" s="113"/>
      <c r="K169" s="113"/>
      <c r="L169" s="113"/>
      <c r="M169" s="113"/>
      <c r="N169" s="113"/>
      <c r="O169" s="113"/>
      <c r="P169" s="113"/>
    </row>
    <row r="170" spans="1:16" x14ac:dyDescent="0.45">
      <c r="A170" s="155"/>
      <c r="B170" s="173"/>
      <c r="C170" s="155"/>
      <c r="D170" s="155"/>
      <c r="E170" s="157"/>
      <c r="F170" s="113"/>
      <c r="G170" s="113"/>
      <c r="H170" s="113"/>
      <c r="I170" s="158"/>
      <c r="J170" s="113"/>
      <c r="K170" s="113"/>
      <c r="L170" s="113"/>
      <c r="M170" s="113"/>
      <c r="N170" s="113"/>
      <c r="O170" s="113"/>
      <c r="P170" s="113"/>
    </row>
    <row r="171" spans="1:16" x14ac:dyDescent="0.45">
      <c r="A171" s="155"/>
      <c r="B171" s="173"/>
      <c r="C171" s="155"/>
      <c r="D171" s="155"/>
      <c r="E171" s="157"/>
      <c r="F171" s="113"/>
      <c r="G171" s="113"/>
      <c r="H171" s="113"/>
      <c r="I171" s="158"/>
      <c r="J171" s="113"/>
      <c r="K171" s="113"/>
      <c r="L171" s="113"/>
      <c r="M171" s="113"/>
      <c r="N171" s="113"/>
      <c r="O171" s="113"/>
      <c r="P171" s="113"/>
    </row>
    <row r="172" spans="1:16" x14ac:dyDescent="0.45">
      <c r="A172" s="155"/>
      <c r="B172" s="173"/>
      <c r="C172" s="155"/>
      <c r="D172" s="155"/>
      <c r="E172" s="157"/>
      <c r="F172" s="113"/>
      <c r="G172" s="113"/>
      <c r="H172" s="113"/>
      <c r="I172" s="158"/>
      <c r="J172" s="113"/>
      <c r="K172" s="113"/>
      <c r="L172" s="113"/>
      <c r="M172" s="113"/>
      <c r="N172" s="113"/>
      <c r="O172" s="113"/>
      <c r="P172" s="113"/>
    </row>
    <row r="173" spans="1:16" x14ac:dyDescent="0.45">
      <c r="A173" s="155"/>
      <c r="B173" s="173"/>
      <c r="C173" s="155"/>
      <c r="D173" s="155"/>
      <c r="E173" s="157"/>
      <c r="F173" s="113"/>
      <c r="G173" s="113"/>
      <c r="H173" s="113"/>
      <c r="I173" s="158"/>
      <c r="J173" s="113"/>
      <c r="K173" s="113"/>
      <c r="L173" s="113"/>
      <c r="M173" s="113"/>
      <c r="N173" s="113"/>
      <c r="O173" s="113"/>
      <c r="P173" s="113"/>
    </row>
    <row r="174" spans="1:16" x14ac:dyDescent="0.45">
      <c r="A174" s="155"/>
      <c r="B174" s="173"/>
      <c r="C174" s="155"/>
      <c r="D174" s="155"/>
      <c r="E174" s="157"/>
      <c r="F174" s="113"/>
      <c r="G174" s="113"/>
      <c r="H174" s="113"/>
      <c r="I174" s="158"/>
      <c r="J174" s="113"/>
      <c r="K174" s="113"/>
      <c r="L174" s="113"/>
      <c r="M174" s="113"/>
      <c r="N174" s="113"/>
      <c r="O174" s="113"/>
      <c r="P174" s="113"/>
    </row>
    <row r="175" spans="1:16" x14ac:dyDescent="0.45">
      <c r="A175" s="155"/>
      <c r="B175" s="173"/>
      <c r="C175" s="155"/>
      <c r="D175" s="155"/>
      <c r="E175" s="157"/>
      <c r="F175" s="113"/>
      <c r="G175" s="113"/>
      <c r="H175" s="113"/>
      <c r="I175" s="158"/>
      <c r="J175" s="113"/>
      <c r="K175" s="113"/>
      <c r="L175" s="113"/>
      <c r="M175" s="113"/>
      <c r="N175" s="113"/>
      <c r="O175" s="113"/>
      <c r="P175" s="113"/>
    </row>
    <row r="176" spans="1:16" x14ac:dyDescent="0.45">
      <c r="A176" s="155"/>
      <c r="B176" s="173"/>
      <c r="C176" s="155"/>
      <c r="D176" s="155"/>
      <c r="E176" s="157"/>
      <c r="F176" s="113"/>
      <c r="G176" s="113"/>
      <c r="H176" s="113"/>
      <c r="I176" s="158"/>
      <c r="J176" s="113"/>
      <c r="K176" s="113"/>
      <c r="L176" s="113"/>
      <c r="M176" s="113"/>
      <c r="N176" s="113"/>
      <c r="O176" s="113"/>
      <c r="P176" s="113"/>
    </row>
    <row r="177" spans="1:16" x14ac:dyDescent="0.45">
      <c r="A177" s="155"/>
      <c r="B177" s="173"/>
      <c r="C177" s="155"/>
      <c r="D177" s="155"/>
      <c r="E177" s="157"/>
      <c r="F177" s="113"/>
      <c r="G177" s="113"/>
      <c r="H177" s="113"/>
      <c r="I177" s="158"/>
      <c r="J177" s="113"/>
      <c r="K177" s="113"/>
      <c r="L177" s="113"/>
      <c r="M177" s="113"/>
      <c r="N177" s="113"/>
      <c r="O177" s="113"/>
      <c r="P177" s="113"/>
    </row>
    <row r="178" spans="1:16" x14ac:dyDescent="0.45">
      <c r="A178" s="155"/>
      <c r="B178" s="173"/>
      <c r="C178" s="155"/>
      <c r="D178" s="155"/>
      <c r="E178" s="157"/>
      <c r="F178" s="113"/>
      <c r="G178" s="113"/>
      <c r="H178" s="113"/>
      <c r="I178" s="158"/>
      <c r="J178" s="113"/>
      <c r="K178" s="113"/>
      <c r="L178" s="113"/>
      <c r="M178" s="113"/>
      <c r="N178" s="113"/>
      <c r="O178" s="113"/>
      <c r="P178" s="113"/>
    </row>
    <row r="179" spans="1:16" x14ac:dyDescent="0.45">
      <c r="A179" s="155"/>
      <c r="B179" s="173"/>
      <c r="C179" s="155"/>
      <c r="D179" s="155"/>
      <c r="E179" s="157"/>
      <c r="F179" s="113"/>
      <c r="G179" s="113"/>
      <c r="H179" s="113"/>
      <c r="I179" s="158"/>
      <c r="J179" s="113"/>
      <c r="K179" s="113"/>
      <c r="L179" s="113"/>
      <c r="M179" s="113"/>
      <c r="N179" s="113"/>
      <c r="O179" s="113"/>
      <c r="P179" s="113"/>
    </row>
    <row r="180" spans="1:16" x14ac:dyDescent="0.45">
      <c r="A180" s="155"/>
      <c r="B180" s="173"/>
      <c r="C180" s="155"/>
      <c r="D180" s="155"/>
      <c r="E180" s="157"/>
      <c r="F180" s="113"/>
      <c r="G180" s="113"/>
      <c r="H180" s="113"/>
      <c r="I180" s="158"/>
      <c r="J180" s="113"/>
      <c r="K180" s="113"/>
      <c r="L180" s="113"/>
      <c r="M180" s="113"/>
      <c r="N180" s="113"/>
      <c r="O180" s="113"/>
      <c r="P180" s="113"/>
    </row>
    <row r="181" spans="1:16" x14ac:dyDescent="0.45">
      <c r="A181" s="155"/>
      <c r="B181" s="173"/>
      <c r="C181" s="155"/>
      <c r="D181" s="155"/>
      <c r="E181" s="157"/>
      <c r="F181" s="113"/>
      <c r="G181" s="113"/>
      <c r="H181" s="113"/>
      <c r="I181" s="158"/>
      <c r="J181" s="113"/>
      <c r="K181" s="113"/>
      <c r="L181" s="113"/>
      <c r="M181" s="113"/>
      <c r="N181" s="113"/>
      <c r="O181" s="113"/>
      <c r="P181" s="113"/>
    </row>
    <row r="182" spans="1:16" x14ac:dyDescent="0.45">
      <c r="A182" s="155"/>
      <c r="B182" s="173"/>
      <c r="C182" s="155"/>
      <c r="D182" s="155"/>
      <c r="E182" s="157"/>
      <c r="F182" s="113"/>
      <c r="G182" s="113"/>
      <c r="H182" s="113"/>
      <c r="I182" s="158"/>
      <c r="J182" s="113"/>
      <c r="K182" s="113"/>
      <c r="L182" s="113"/>
      <c r="M182" s="113"/>
      <c r="N182" s="113"/>
      <c r="O182" s="113"/>
      <c r="P182" s="113"/>
    </row>
    <row r="183" spans="1:16" x14ac:dyDescent="0.45">
      <c r="A183" s="155"/>
      <c r="B183" s="173"/>
      <c r="C183" s="155"/>
      <c r="D183" s="155"/>
      <c r="E183" s="157"/>
      <c r="F183" s="113"/>
      <c r="G183" s="113"/>
      <c r="H183" s="113"/>
      <c r="I183" s="158"/>
      <c r="J183" s="113"/>
      <c r="K183" s="113"/>
      <c r="L183" s="113"/>
      <c r="M183" s="113"/>
      <c r="N183" s="113"/>
      <c r="O183" s="113"/>
      <c r="P183" s="113"/>
    </row>
    <row r="184" spans="1:16" x14ac:dyDescent="0.45">
      <c r="A184" s="155"/>
      <c r="B184" s="173"/>
      <c r="C184" s="155"/>
      <c r="D184" s="155"/>
      <c r="E184" s="157"/>
      <c r="F184" s="113"/>
      <c r="G184" s="113"/>
      <c r="H184" s="113"/>
      <c r="I184" s="158"/>
      <c r="J184" s="113"/>
      <c r="K184" s="113"/>
      <c r="L184" s="113"/>
      <c r="M184" s="113"/>
      <c r="N184" s="113"/>
      <c r="O184" s="113"/>
      <c r="P184" s="113"/>
    </row>
    <row r="185" spans="1:16" x14ac:dyDescent="0.45">
      <c r="A185" s="155"/>
      <c r="B185" s="173"/>
      <c r="C185" s="155"/>
      <c r="D185" s="155"/>
      <c r="E185" s="157"/>
      <c r="F185" s="113"/>
      <c r="G185" s="113"/>
      <c r="H185" s="113"/>
      <c r="I185" s="158"/>
      <c r="J185" s="113"/>
      <c r="K185" s="113"/>
      <c r="L185" s="113"/>
      <c r="M185" s="113"/>
      <c r="N185" s="113"/>
      <c r="O185" s="113"/>
      <c r="P185" s="113"/>
    </row>
    <row r="186" spans="1:16" x14ac:dyDescent="0.45">
      <c r="A186" s="155"/>
      <c r="B186" s="173"/>
      <c r="C186" s="155"/>
      <c r="D186" s="155"/>
      <c r="E186" s="157"/>
      <c r="F186" s="113"/>
      <c r="G186" s="113"/>
      <c r="H186" s="113"/>
      <c r="I186" s="158"/>
      <c r="J186" s="113"/>
      <c r="K186" s="113"/>
      <c r="L186" s="113"/>
      <c r="M186" s="113"/>
      <c r="N186" s="113"/>
      <c r="O186" s="113"/>
      <c r="P186" s="113"/>
    </row>
    <row r="187" spans="1:16" x14ac:dyDescent="0.45">
      <c r="A187" s="155"/>
      <c r="B187" s="173"/>
      <c r="C187" s="155"/>
      <c r="D187" s="155"/>
      <c r="E187" s="157"/>
      <c r="F187" s="113"/>
      <c r="G187" s="113"/>
      <c r="H187" s="113"/>
      <c r="I187" s="158"/>
      <c r="J187" s="113"/>
      <c r="K187" s="113"/>
      <c r="L187" s="113"/>
      <c r="M187" s="113"/>
      <c r="N187" s="113"/>
      <c r="O187" s="113"/>
      <c r="P187" s="113"/>
    </row>
    <row r="188" spans="1:16" x14ac:dyDescent="0.45">
      <c r="A188" s="155"/>
      <c r="B188" s="173"/>
      <c r="C188" s="155"/>
      <c r="D188" s="155"/>
      <c r="E188" s="157"/>
      <c r="F188" s="113"/>
      <c r="G188" s="113"/>
      <c r="H188" s="113"/>
      <c r="I188" s="158"/>
      <c r="J188" s="113"/>
      <c r="K188" s="113"/>
      <c r="L188" s="113"/>
      <c r="M188" s="113"/>
      <c r="N188" s="113"/>
      <c r="O188" s="113"/>
      <c r="P188" s="113"/>
    </row>
    <row r="189" spans="1:16" x14ac:dyDescent="0.45">
      <c r="A189" s="155"/>
      <c r="B189" s="173"/>
      <c r="C189" s="155"/>
      <c r="D189" s="155"/>
      <c r="E189" s="157"/>
      <c r="F189" s="113"/>
      <c r="G189" s="113"/>
      <c r="H189" s="113"/>
      <c r="I189" s="158"/>
      <c r="J189" s="113"/>
      <c r="K189" s="113"/>
      <c r="L189" s="113"/>
      <c r="M189" s="113"/>
      <c r="N189" s="113"/>
      <c r="O189" s="113"/>
      <c r="P189" s="113"/>
    </row>
    <row r="190" spans="1:16" x14ac:dyDescent="0.45">
      <c r="A190" s="155"/>
      <c r="B190" s="173"/>
      <c r="C190" s="155"/>
      <c r="D190" s="155"/>
      <c r="E190" s="157"/>
      <c r="F190" s="113"/>
      <c r="G190" s="113"/>
      <c r="H190" s="113"/>
      <c r="I190" s="158"/>
      <c r="J190" s="113"/>
      <c r="K190" s="113"/>
      <c r="L190" s="113"/>
      <c r="M190" s="113"/>
      <c r="N190" s="113"/>
      <c r="O190" s="113"/>
      <c r="P190" s="113"/>
    </row>
    <row r="191" spans="1:16" x14ac:dyDescent="0.45">
      <c r="A191" s="155"/>
      <c r="B191" s="173"/>
      <c r="C191" s="155"/>
      <c r="D191" s="155"/>
      <c r="E191" s="157"/>
      <c r="F191" s="113"/>
      <c r="G191" s="113"/>
      <c r="H191" s="113"/>
      <c r="I191" s="158"/>
      <c r="J191" s="113"/>
      <c r="K191" s="113"/>
      <c r="L191" s="113"/>
      <c r="M191" s="113"/>
      <c r="N191" s="113"/>
      <c r="O191" s="113"/>
      <c r="P191" s="113"/>
    </row>
    <row r="192" spans="1:16" x14ac:dyDescent="0.45">
      <c r="A192" s="155"/>
      <c r="B192" s="173"/>
      <c r="C192" s="155"/>
      <c r="D192" s="155"/>
      <c r="E192" s="157"/>
      <c r="F192" s="113"/>
      <c r="G192" s="113"/>
      <c r="H192" s="113"/>
      <c r="I192" s="158"/>
      <c r="J192" s="113"/>
      <c r="K192" s="113"/>
      <c r="L192" s="113"/>
      <c r="M192" s="113"/>
      <c r="N192" s="113"/>
      <c r="O192" s="113"/>
      <c r="P192" s="113"/>
    </row>
    <row r="193" spans="1:16" x14ac:dyDescent="0.45">
      <c r="A193" s="155"/>
      <c r="B193" s="173"/>
      <c r="C193" s="155"/>
      <c r="D193" s="155"/>
      <c r="E193" s="157"/>
      <c r="F193" s="113"/>
      <c r="G193" s="113"/>
      <c r="H193" s="113"/>
      <c r="I193" s="158"/>
      <c r="J193" s="113"/>
      <c r="K193" s="113"/>
      <c r="L193" s="113"/>
      <c r="M193" s="113"/>
      <c r="N193" s="113"/>
      <c r="O193" s="113"/>
      <c r="P193" s="113"/>
    </row>
    <row r="194" spans="1:16" x14ac:dyDescent="0.45">
      <c r="A194" s="155"/>
      <c r="B194" s="173"/>
      <c r="C194" s="155"/>
      <c r="D194" s="155"/>
      <c r="E194" s="157"/>
      <c r="F194" s="113"/>
      <c r="G194" s="113"/>
      <c r="H194" s="113"/>
      <c r="I194" s="158"/>
      <c r="J194" s="113"/>
      <c r="K194" s="113"/>
      <c r="L194" s="113"/>
      <c r="M194" s="113"/>
      <c r="N194" s="113"/>
      <c r="O194" s="113"/>
      <c r="P194" s="113"/>
    </row>
    <row r="195" spans="1:16" x14ac:dyDescent="0.45">
      <c r="A195" s="155"/>
      <c r="B195" s="173"/>
      <c r="C195" s="155"/>
      <c r="D195" s="155"/>
      <c r="E195" s="157"/>
      <c r="F195" s="113"/>
      <c r="G195" s="113"/>
      <c r="H195" s="113"/>
      <c r="I195" s="158"/>
      <c r="J195" s="113"/>
      <c r="K195" s="113"/>
      <c r="L195" s="113"/>
      <c r="M195" s="113"/>
      <c r="N195" s="113"/>
      <c r="O195" s="113"/>
      <c r="P195" s="113"/>
    </row>
    <row r="196" spans="1:16" x14ac:dyDescent="0.45">
      <c r="A196" s="155"/>
      <c r="B196" s="173"/>
      <c r="C196" s="155"/>
      <c r="D196" s="155"/>
      <c r="E196" s="157"/>
      <c r="F196" s="113"/>
      <c r="G196" s="113"/>
      <c r="H196" s="113"/>
      <c r="I196" s="158"/>
      <c r="J196" s="113"/>
      <c r="K196" s="113"/>
      <c r="L196" s="113"/>
      <c r="M196" s="113"/>
      <c r="N196" s="113"/>
      <c r="O196" s="113"/>
      <c r="P196" s="113"/>
    </row>
    <row r="197" spans="1:16" x14ac:dyDescent="0.45">
      <c r="A197" s="155"/>
      <c r="B197" s="173"/>
      <c r="C197" s="155"/>
      <c r="D197" s="155"/>
      <c r="E197" s="157"/>
      <c r="F197" s="113"/>
      <c r="G197" s="113"/>
      <c r="H197" s="113"/>
      <c r="I197" s="158"/>
      <c r="J197" s="113"/>
      <c r="K197" s="113"/>
      <c r="L197" s="113"/>
      <c r="M197" s="113"/>
      <c r="N197" s="113"/>
      <c r="O197" s="113"/>
      <c r="P197" s="113"/>
    </row>
    <row r="198" spans="1:16" x14ac:dyDescent="0.45">
      <c r="A198" s="155"/>
      <c r="B198" s="173"/>
      <c r="C198" s="155"/>
      <c r="D198" s="155"/>
      <c r="E198" s="157"/>
      <c r="F198" s="113"/>
      <c r="G198" s="113"/>
      <c r="H198" s="113"/>
      <c r="I198" s="158"/>
      <c r="J198" s="113"/>
      <c r="K198" s="113"/>
      <c r="L198" s="113"/>
      <c r="M198" s="113"/>
      <c r="N198" s="113"/>
      <c r="O198" s="113"/>
      <c r="P198" s="113"/>
    </row>
    <row r="199" spans="1:16" x14ac:dyDescent="0.45">
      <c r="A199" s="155"/>
      <c r="B199" s="173"/>
      <c r="C199" s="155"/>
      <c r="D199" s="155"/>
      <c r="E199" s="157"/>
      <c r="F199" s="113"/>
      <c r="G199" s="113"/>
      <c r="H199" s="113"/>
      <c r="I199" s="158"/>
      <c r="J199" s="113"/>
      <c r="K199" s="113"/>
      <c r="L199" s="113"/>
      <c r="M199" s="113"/>
      <c r="N199" s="113"/>
      <c r="O199" s="113"/>
      <c r="P199" s="113"/>
    </row>
    <row r="200" spans="1:16" x14ac:dyDescent="0.45">
      <c r="A200" s="155"/>
      <c r="B200" s="173"/>
      <c r="C200" s="155"/>
      <c r="D200" s="155"/>
      <c r="E200" s="157"/>
      <c r="F200" s="113"/>
      <c r="G200" s="113"/>
      <c r="H200" s="113"/>
      <c r="I200" s="158"/>
      <c r="J200" s="113"/>
      <c r="K200" s="113"/>
      <c r="L200" s="113"/>
      <c r="M200" s="113"/>
      <c r="N200" s="113"/>
      <c r="O200" s="113"/>
      <c r="P200" s="113"/>
    </row>
    <row r="201" spans="1:16" x14ac:dyDescent="0.45">
      <c r="A201" s="155"/>
      <c r="B201" s="173"/>
      <c r="C201" s="155"/>
      <c r="D201" s="155"/>
      <c r="E201" s="157"/>
      <c r="F201" s="113"/>
      <c r="G201" s="113"/>
      <c r="H201" s="113"/>
      <c r="I201" s="158"/>
      <c r="J201" s="113"/>
      <c r="K201" s="113"/>
      <c r="L201" s="113"/>
      <c r="M201" s="113"/>
      <c r="N201" s="113"/>
      <c r="O201" s="113"/>
      <c r="P201" s="113"/>
    </row>
    <row r="202" spans="1:16" x14ac:dyDescent="0.45">
      <c r="A202" s="155"/>
      <c r="B202" s="173"/>
      <c r="C202" s="155"/>
      <c r="D202" s="155"/>
      <c r="E202" s="157"/>
      <c r="F202" s="113"/>
      <c r="G202" s="113"/>
      <c r="H202" s="113"/>
      <c r="I202" s="158"/>
      <c r="J202" s="113"/>
      <c r="K202" s="113"/>
      <c r="L202" s="113"/>
      <c r="M202" s="113"/>
      <c r="N202" s="113"/>
      <c r="O202" s="113"/>
      <c r="P202" s="113"/>
    </row>
    <row r="203" spans="1:16" x14ac:dyDescent="0.45">
      <c r="A203" s="155"/>
      <c r="B203" s="173"/>
      <c r="C203" s="155"/>
      <c r="D203" s="155"/>
      <c r="E203" s="157"/>
      <c r="F203" s="113"/>
      <c r="G203" s="113"/>
      <c r="H203" s="113"/>
      <c r="I203" s="158"/>
      <c r="J203" s="113"/>
      <c r="K203" s="113"/>
      <c r="L203" s="113"/>
      <c r="M203" s="113"/>
      <c r="N203" s="113"/>
      <c r="O203" s="113"/>
      <c r="P203" s="113"/>
    </row>
    <row r="204" spans="1:16" x14ac:dyDescent="0.45">
      <c r="A204" s="155"/>
      <c r="B204" s="173"/>
      <c r="C204" s="155"/>
      <c r="D204" s="155"/>
      <c r="E204" s="157"/>
      <c r="F204" s="113"/>
      <c r="G204" s="113"/>
      <c r="H204" s="113"/>
      <c r="I204" s="158"/>
      <c r="J204" s="113"/>
      <c r="K204" s="113"/>
      <c r="L204" s="113"/>
      <c r="M204" s="113"/>
      <c r="N204" s="113"/>
      <c r="O204" s="113"/>
      <c r="P204" s="113"/>
    </row>
    <row r="205" spans="1:16" x14ac:dyDescent="0.45">
      <c r="A205" s="155"/>
      <c r="B205" s="173"/>
      <c r="C205" s="155"/>
      <c r="D205" s="155"/>
      <c r="E205" s="157"/>
      <c r="F205" s="113"/>
      <c r="G205" s="113"/>
      <c r="H205" s="113"/>
      <c r="I205" s="158"/>
      <c r="J205" s="113"/>
      <c r="K205" s="113"/>
      <c r="L205" s="113"/>
      <c r="M205" s="113"/>
      <c r="N205" s="113"/>
      <c r="O205" s="113"/>
      <c r="P205" s="113"/>
    </row>
    <row r="206" spans="1:16" x14ac:dyDescent="0.45">
      <c r="A206" s="155"/>
      <c r="B206" s="173"/>
      <c r="C206" s="155"/>
      <c r="D206" s="155"/>
      <c r="E206" s="157"/>
      <c r="F206" s="113"/>
      <c r="G206" s="113"/>
      <c r="H206" s="113"/>
      <c r="I206" s="158"/>
      <c r="J206" s="113"/>
      <c r="K206" s="113"/>
      <c r="L206" s="113"/>
      <c r="M206" s="113"/>
      <c r="N206" s="113"/>
      <c r="O206" s="113"/>
      <c r="P206" s="113"/>
    </row>
    <row r="207" spans="1:16" x14ac:dyDescent="0.45">
      <c r="A207" s="155"/>
      <c r="B207" s="173"/>
      <c r="C207" s="155"/>
      <c r="D207" s="155"/>
      <c r="E207" s="157"/>
      <c r="F207" s="113"/>
      <c r="G207" s="113"/>
      <c r="H207" s="113"/>
      <c r="I207" s="158"/>
      <c r="J207" s="113"/>
      <c r="K207" s="113"/>
      <c r="L207" s="113"/>
      <c r="M207" s="113"/>
      <c r="N207" s="113"/>
      <c r="O207" s="113"/>
      <c r="P207" s="113"/>
    </row>
    <row r="208" spans="1:16" x14ac:dyDescent="0.45">
      <c r="A208" s="155"/>
      <c r="B208" s="173"/>
      <c r="C208" s="155"/>
      <c r="D208" s="155"/>
      <c r="E208" s="157"/>
      <c r="F208" s="113"/>
      <c r="G208" s="113"/>
      <c r="H208" s="113"/>
      <c r="I208" s="158"/>
      <c r="J208" s="113"/>
      <c r="K208" s="113"/>
      <c r="L208" s="113"/>
      <c r="M208" s="113"/>
      <c r="N208" s="113"/>
      <c r="O208" s="113"/>
      <c r="P208" s="113"/>
    </row>
    <row r="209" spans="1:16" x14ac:dyDescent="0.45">
      <c r="A209" s="155"/>
      <c r="B209" s="173"/>
      <c r="C209" s="155"/>
      <c r="D209" s="155"/>
      <c r="E209" s="157"/>
      <c r="F209" s="113"/>
      <c r="G209" s="113"/>
      <c r="H209" s="113"/>
      <c r="I209" s="158"/>
      <c r="J209" s="113"/>
      <c r="K209" s="113"/>
      <c r="L209" s="113"/>
      <c r="M209" s="113"/>
      <c r="N209" s="113"/>
      <c r="O209" s="113"/>
      <c r="P209" s="113"/>
    </row>
    <row r="210" spans="1:16" x14ac:dyDescent="0.45">
      <c r="A210" s="155"/>
      <c r="B210" s="173"/>
      <c r="C210" s="155"/>
      <c r="D210" s="155"/>
      <c r="E210" s="157"/>
      <c r="F210" s="113"/>
      <c r="G210" s="113"/>
      <c r="H210" s="113"/>
      <c r="I210" s="158"/>
      <c r="J210" s="113"/>
      <c r="K210" s="113"/>
      <c r="L210" s="113"/>
      <c r="M210" s="113"/>
      <c r="N210" s="113"/>
      <c r="O210" s="113"/>
      <c r="P210" s="113"/>
    </row>
    <row r="211" spans="1:16" x14ac:dyDescent="0.45">
      <c r="A211" s="155"/>
      <c r="B211" s="173"/>
      <c r="C211" s="155"/>
      <c r="D211" s="155"/>
      <c r="E211" s="157"/>
      <c r="F211" s="113"/>
      <c r="G211" s="113"/>
      <c r="H211" s="113"/>
      <c r="I211" s="158"/>
      <c r="J211" s="113"/>
      <c r="K211" s="113"/>
      <c r="L211" s="113"/>
      <c r="M211" s="113"/>
      <c r="N211" s="113"/>
      <c r="O211" s="113"/>
      <c r="P211" s="113"/>
    </row>
    <row r="212" spans="1:16" x14ac:dyDescent="0.45">
      <c r="A212" s="155"/>
      <c r="B212" s="173"/>
      <c r="C212" s="155"/>
      <c r="D212" s="155"/>
      <c r="E212" s="157"/>
      <c r="F212" s="113"/>
      <c r="G212" s="113"/>
      <c r="H212" s="113"/>
      <c r="I212" s="158"/>
      <c r="J212" s="113"/>
      <c r="K212" s="113"/>
      <c r="L212" s="113"/>
      <c r="M212" s="113"/>
      <c r="N212" s="113"/>
      <c r="O212" s="113"/>
      <c r="P212" s="113"/>
    </row>
    <row r="213" spans="1:16" x14ac:dyDescent="0.45">
      <c r="A213" s="155"/>
      <c r="B213" s="173"/>
      <c r="C213" s="155"/>
      <c r="D213" s="155"/>
      <c r="E213" s="157"/>
      <c r="F213" s="113"/>
      <c r="G213" s="113"/>
      <c r="H213" s="113"/>
      <c r="I213" s="158"/>
      <c r="J213" s="113"/>
      <c r="K213" s="113"/>
      <c r="L213" s="113"/>
      <c r="M213" s="113"/>
      <c r="N213" s="113"/>
      <c r="O213" s="113"/>
      <c r="P213" s="113"/>
    </row>
    <row r="214" spans="1:16" x14ac:dyDescent="0.45">
      <c r="A214" s="155"/>
      <c r="B214" s="173"/>
      <c r="C214" s="155"/>
      <c r="D214" s="155"/>
      <c r="E214" s="157"/>
      <c r="F214" s="113"/>
      <c r="G214" s="113"/>
      <c r="H214" s="113"/>
      <c r="I214" s="158"/>
      <c r="J214" s="113"/>
      <c r="K214" s="113"/>
      <c r="L214" s="113"/>
      <c r="M214" s="113"/>
      <c r="N214" s="113"/>
      <c r="O214" s="113"/>
      <c r="P214" s="113"/>
    </row>
    <row r="215" spans="1:16" x14ac:dyDescent="0.45">
      <c r="A215" s="155"/>
      <c r="B215" s="173"/>
      <c r="C215" s="155"/>
      <c r="D215" s="155"/>
      <c r="E215" s="157"/>
      <c r="F215" s="113"/>
      <c r="G215" s="113"/>
      <c r="H215" s="113"/>
      <c r="I215" s="158"/>
      <c r="J215" s="113"/>
      <c r="K215" s="113"/>
      <c r="L215" s="113"/>
      <c r="M215" s="113"/>
      <c r="N215" s="113"/>
      <c r="O215" s="113"/>
      <c r="P215" s="113"/>
    </row>
    <row r="216" spans="1:16" x14ac:dyDescent="0.45">
      <c r="A216" s="155"/>
      <c r="B216" s="173"/>
      <c r="C216" s="155"/>
      <c r="D216" s="155"/>
      <c r="E216" s="157"/>
      <c r="F216" s="113"/>
      <c r="G216" s="113"/>
      <c r="H216" s="113"/>
      <c r="I216" s="158"/>
      <c r="J216" s="113"/>
      <c r="K216" s="113"/>
      <c r="L216" s="113"/>
      <c r="M216" s="113"/>
      <c r="N216" s="113"/>
      <c r="O216" s="113"/>
      <c r="P216" s="113"/>
    </row>
    <row r="217" spans="1:16" x14ac:dyDescent="0.45">
      <c r="A217" s="155"/>
      <c r="B217" s="173"/>
      <c r="C217" s="155"/>
      <c r="D217" s="155"/>
      <c r="E217" s="157"/>
      <c r="F217" s="113"/>
      <c r="G217" s="113"/>
      <c r="H217" s="113"/>
      <c r="I217" s="158"/>
      <c r="J217" s="113"/>
      <c r="K217" s="113"/>
      <c r="L217" s="113"/>
      <c r="M217" s="113"/>
      <c r="N217" s="113"/>
      <c r="O217" s="113"/>
      <c r="P217" s="113"/>
    </row>
    <row r="218" spans="1:16" x14ac:dyDescent="0.45">
      <c r="A218" s="155"/>
      <c r="B218" s="173"/>
      <c r="C218" s="155"/>
      <c r="D218" s="155"/>
      <c r="E218" s="157"/>
      <c r="F218" s="113"/>
      <c r="G218" s="113"/>
      <c r="H218" s="113"/>
      <c r="I218" s="158"/>
      <c r="J218" s="113"/>
      <c r="K218" s="113"/>
      <c r="L218" s="113"/>
      <c r="M218" s="113"/>
      <c r="N218" s="113"/>
      <c r="O218" s="113"/>
      <c r="P218" s="113"/>
    </row>
    <row r="219" spans="1:16" x14ac:dyDescent="0.45">
      <c r="A219" s="155"/>
      <c r="B219" s="173"/>
      <c r="C219" s="155"/>
      <c r="D219" s="155"/>
      <c r="E219" s="157"/>
      <c r="F219" s="113"/>
      <c r="G219" s="113"/>
      <c r="H219" s="113"/>
      <c r="I219" s="158"/>
      <c r="J219" s="113"/>
      <c r="K219" s="113"/>
      <c r="L219" s="113"/>
      <c r="M219" s="113"/>
      <c r="N219" s="113"/>
      <c r="O219" s="113"/>
      <c r="P219" s="113"/>
    </row>
    <row r="220" spans="1:16" x14ac:dyDescent="0.45">
      <c r="A220" s="155"/>
      <c r="B220" s="173"/>
      <c r="C220" s="155"/>
      <c r="D220" s="155"/>
      <c r="E220" s="157"/>
      <c r="F220" s="113"/>
      <c r="G220" s="113"/>
      <c r="H220" s="113"/>
      <c r="I220" s="158"/>
      <c r="J220" s="113"/>
      <c r="K220" s="113"/>
      <c r="L220" s="113"/>
      <c r="M220" s="113"/>
      <c r="N220" s="113"/>
      <c r="O220" s="113"/>
      <c r="P220" s="113"/>
    </row>
    <row r="221" spans="1:16" x14ac:dyDescent="0.45">
      <c r="A221" s="155"/>
      <c r="B221" s="173"/>
      <c r="C221" s="155"/>
      <c r="D221" s="155"/>
      <c r="E221" s="157"/>
      <c r="F221" s="113"/>
      <c r="G221" s="113"/>
      <c r="H221" s="113"/>
      <c r="I221" s="158"/>
      <c r="J221" s="113"/>
      <c r="K221" s="113"/>
      <c r="L221" s="113"/>
      <c r="M221" s="113"/>
      <c r="N221" s="113"/>
      <c r="O221" s="113"/>
      <c r="P221" s="113"/>
    </row>
    <row r="222" spans="1:16" x14ac:dyDescent="0.45">
      <c r="A222" s="155"/>
      <c r="B222" s="173"/>
      <c r="C222" s="155"/>
      <c r="D222" s="155"/>
      <c r="E222" s="157"/>
      <c r="F222" s="113"/>
      <c r="G222" s="113"/>
      <c r="H222" s="113"/>
      <c r="I222" s="158"/>
      <c r="J222" s="113"/>
      <c r="K222" s="113"/>
      <c r="L222" s="113"/>
      <c r="M222" s="113"/>
      <c r="N222" s="113"/>
      <c r="O222" s="113"/>
      <c r="P222" s="113"/>
    </row>
    <row r="223" spans="1:16" x14ac:dyDescent="0.45">
      <c r="A223" s="155"/>
      <c r="B223" s="173"/>
      <c r="C223" s="155"/>
      <c r="D223" s="155"/>
      <c r="E223" s="157"/>
      <c r="F223" s="113"/>
      <c r="G223" s="113"/>
      <c r="H223" s="113"/>
      <c r="I223" s="158"/>
      <c r="J223" s="113"/>
      <c r="K223" s="113"/>
      <c r="L223" s="113"/>
      <c r="M223" s="113"/>
      <c r="N223" s="113"/>
      <c r="O223" s="113"/>
      <c r="P223" s="113"/>
    </row>
    <row r="224" spans="1:16" x14ac:dyDescent="0.45">
      <c r="A224" s="155"/>
      <c r="B224" s="173"/>
      <c r="C224" s="155"/>
      <c r="D224" s="155"/>
      <c r="E224" s="157"/>
      <c r="F224" s="113"/>
      <c r="G224" s="113"/>
      <c r="H224" s="113"/>
      <c r="I224" s="158"/>
      <c r="J224" s="113"/>
      <c r="K224" s="113"/>
      <c r="L224" s="113"/>
      <c r="M224" s="113"/>
      <c r="N224" s="113"/>
      <c r="O224" s="113"/>
      <c r="P224" s="113"/>
    </row>
    <row r="225" spans="1:16" x14ac:dyDescent="0.45">
      <c r="A225" s="155"/>
      <c r="B225" s="173"/>
      <c r="C225" s="155"/>
      <c r="D225" s="155"/>
      <c r="E225" s="157"/>
      <c r="F225" s="113"/>
      <c r="G225" s="113"/>
      <c r="H225" s="113"/>
      <c r="I225" s="158"/>
      <c r="J225" s="113"/>
      <c r="K225" s="113"/>
      <c r="L225" s="113"/>
      <c r="M225" s="113"/>
      <c r="N225" s="113"/>
      <c r="O225" s="113"/>
      <c r="P225" s="113"/>
    </row>
    <row r="226" spans="1:16" x14ac:dyDescent="0.45">
      <c r="A226" s="155"/>
      <c r="B226" s="173"/>
      <c r="C226" s="155"/>
      <c r="D226" s="155"/>
      <c r="E226" s="157"/>
      <c r="F226" s="113"/>
      <c r="G226" s="113"/>
      <c r="H226" s="113"/>
      <c r="I226" s="158"/>
      <c r="J226" s="113"/>
      <c r="K226" s="113"/>
      <c r="L226" s="113"/>
      <c r="M226" s="113"/>
      <c r="N226" s="113"/>
      <c r="O226" s="113"/>
      <c r="P226" s="113"/>
    </row>
    <row r="227" spans="1:16" x14ac:dyDescent="0.45">
      <c r="A227" s="155"/>
      <c r="B227" s="173"/>
      <c r="C227" s="155"/>
      <c r="D227" s="155"/>
      <c r="E227" s="157"/>
      <c r="F227" s="113"/>
      <c r="G227" s="113"/>
      <c r="H227" s="113"/>
      <c r="I227" s="158"/>
      <c r="J227" s="113"/>
      <c r="K227" s="113"/>
      <c r="L227" s="113"/>
      <c r="M227" s="113"/>
      <c r="N227" s="113"/>
      <c r="O227" s="113"/>
      <c r="P227" s="113"/>
    </row>
    <row r="228" spans="1:16" x14ac:dyDescent="0.45">
      <c r="A228" s="155"/>
      <c r="B228" s="173"/>
      <c r="C228" s="155"/>
      <c r="D228" s="155"/>
      <c r="E228" s="157"/>
      <c r="F228" s="113"/>
      <c r="G228" s="113"/>
      <c r="H228" s="113"/>
      <c r="I228" s="158"/>
      <c r="J228" s="113"/>
      <c r="K228" s="113"/>
      <c r="L228" s="113"/>
      <c r="M228" s="113"/>
      <c r="N228" s="113"/>
      <c r="O228" s="113"/>
      <c r="P228" s="113"/>
    </row>
    <row r="229" spans="1:16" x14ac:dyDescent="0.45">
      <c r="A229" s="155"/>
      <c r="B229" s="173"/>
      <c r="C229" s="155"/>
      <c r="D229" s="155"/>
      <c r="E229" s="157"/>
      <c r="F229" s="113"/>
      <c r="G229" s="113"/>
      <c r="H229" s="113"/>
      <c r="I229" s="158"/>
      <c r="J229" s="113"/>
      <c r="K229" s="113"/>
      <c r="L229" s="113"/>
      <c r="M229" s="113"/>
      <c r="N229" s="113"/>
      <c r="O229" s="113"/>
      <c r="P229" s="113"/>
    </row>
    <row r="230" spans="1:16" x14ac:dyDescent="0.45">
      <c r="A230" s="155"/>
      <c r="B230" s="173"/>
      <c r="C230" s="155"/>
      <c r="D230" s="155"/>
      <c r="E230" s="157"/>
      <c r="F230" s="113"/>
      <c r="G230" s="113"/>
      <c r="H230" s="113"/>
      <c r="I230" s="158"/>
      <c r="J230" s="113"/>
      <c r="K230" s="113"/>
      <c r="L230" s="113"/>
      <c r="M230" s="113"/>
      <c r="N230" s="113"/>
      <c r="O230" s="113"/>
      <c r="P230" s="113"/>
    </row>
    <row r="231" spans="1:16" x14ac:dyDescent="0.45">
      <c r="A231" s="155"/>
      <c r="B231" s="173"/>
      <c r="C231" s="155"/>
      <c r="D231" s="155"/>
      <c r="E231" s="157"/>
      <c r="F231" s="113"/>
      <c r="G231" s="113"/>
      <c r="H231" s="113"/>
      <c r="I231" s="158"/>
      <c r="J231" s="113"/>
      <c r="K231" s="113"/>
      <c r="L231" s="113"/>
      <c r="M231" s="113"/>
      <c r="N231" s="113"/>
      <c r="O231" s="113"/>
      <c r="P231" s="113"/>
    </row>
    <row r="232" spans="1:16" x14ac:dyDescent="0.45">
      <c r="A232" s="155"/>
      <c r="B232" s="173"/>
      <c r="C232" s="155"/>
      <c r="D232" s="155"/>
      <c r="E232" s="157"/>
      <c r="F232" s="113"/>
      <c r="G232" s="113"/>
      <c r="H232" s="113"/>
      <c r="I232" s="158"/>
      <c r="J232" s="113"/>
      <c r="K232" s="113"/>
      <c r="L232" s="113"/>
      <c r="M232" s="113"/>
      <c r="N232" s="113"/>
      <c r="O232" s="113"/>
      <c r="P232" s="113"/>
    </row>
    <row r="233" spans="1:16" x14ac:dyDescent="0.45">
      <c r="A233" s="155"/>
      <c r="B233" s="173"/>
      <c r="C233" s="155"/>
      <c r="D233" s="155"/>
      <c r="E233" s="157"/>
      <c r="F233" s="113"/>
      <c r="G233" s="113"/>
      <c r="H233" s="113"/>
      <c r="I233" s="158"/>
      <c r="J233" s="113"/>
      <c r="K233" s="113"/>
      <c r="L233" s="113"/>
      <c r="M233" s="113"/>
      <c r="N233" s="113"/>
      <c r="O233" s="113"/>
      <c r="P233" s="113"/>
    </row>
    <row r="234" spans="1:16" x14ac:dyDescent="0.45">
      <c r="A234" s="155"/>
      <c r="B234" s="173"/>
      <c r="C234" s="155"/>
      <c r="D234" s="155"/>
      <c r="E234" s="157"/>
      <c r="F234" s="113"/>
      <c r="G234" s="113"/>
      <c r="H234" s="113"/>
      <c r="I234" s="158"/>
      <c r="J234" s="113"/>
      <c r="K234" s="113"/>
      <c r="L234" s="113"/>
      <c r="M234" s="113"/>
      <c r="N234" s="113"/>
      <c r="O234" s="113"/>
      <c r="P234" s="113"/>
    </row>
    <row r="235" spans="1:16" x14ac:dyDescent="0.45">
      <c r="A235" s="155"/>
      <c r="B235" s="173"/>
      <c r="C235" s="155"/>
      <c r="D235" s="155"/>
      <c r="E235" s="157"/>
      <c r="F235" s="113"/>
      <c r="G235" s="113"/>
      <c r="H235" s="113"/>
      <c r="I235" s="158"/>
      <c r="J235" s="113"/>
      <c r="K235" s="113"/>
      <c r="L235" s="113"/>
      <c r="M235" s="113"/>
      <c r="N235" s="113"/>
      <c r="O235" s="113"/>
      <c r="P235" s="113"/>
    </row>
    <row r="236" spans="1:16" x14ac:dyDescent="0.45">
      <c r="A236" s="155"/>
      <c r="B236" s="173"/>
      <c r="C236" s="155"/>
      <c r="D236" s="155"/>
      <c r="E236" s="157"/>
      <c r="F236" s="113"/>
      <c r="G236" s="113"/>
      <c r="H236" s="113"/>
      <c r="I236" s="158"/>
      <c r="J236" s="113"/>
      <c r="K236" s="113"/>
      <c r="L236" s="113"/>
      <c r="M236" s="113"/>
      <c r="N236" s="113"/>
      <c r="O236" s="113"/>
      <c r="P236" s="113"/>
    </row>
    <row r="237" spans="1:16" x14ac:dyDescent="0.45">
      <c r="A237" s="155"/>
      <c r="B237" s="173"/>
      <c r="C237" s="155"/>
      <c r="D237" s="155"/>
      <c r="E237" s="157"/>
      <c r="F237" s="113"/>
      <c r="G237" s="113"/>
      <c r="H237" s="113"/>
      <c r="I237" s="158"/>
      <c r="J237" s="113"/>
      <c r="K237" s="113"/>
      <c r="L237" s="113"/>
      <c r="M237" s="113"/>
      <c r="N237" s="113"/>
      <c r="O237" s="113"/>
      <c r="P237" s="113"/>
    </row>
    <row r="238" spans="1:16" x14ac:dyDescent="0.45">
      <c r="A238" s="155"/>
      <c r="B238" s="173"/>
      <c r="C238" s="155"/>
      <c r="D238" s="155"/>
      <c r="E238" s="157"/>
      <c r="F238" s="113"/>
      <c r="G238" s="113"/>
      <c r="H238" s="113"/>
      <c r="I238" s="158"/>
      <c r="J238" s="113"/>
      <c r="K238" s="113"/>
      <c r="L238" s="113"/>
      <c r="M238" s="113"/>
      <c r="N238" s="113"/>
      <c r="O238" s="113"/>
      <c r="P238" s="113"/>
    </row>
    <row r="239" spans="1:16" x14ac:dyDescent="0.45">
      <c r="A239" s="155"/>
      <c r="B239" s="173"/>
      <c r="C239" s="155"/>
      <c r="D239" s="155"/>
      <c r="E239" s="157"/>
      <c r="F239" s="113"/>
      <c r="G239" s="113"/>
      <c r="H239" s="113"/>
      <c r="I239" s="158"/>
      <c r="J239" s="113"/>
      <c r="K239" s="113"/>
      <c r="L239" s="113"/>
      <c r="M239" s="113"/>
      <c r="N239" s="113"/>
      <c r="O239" s="113"/>
      <c r="P239" s="113"/>
    </row>
    <row r="240" spans="1:16" x14ac:dyDescent="0.45">
      <c r="A240" s="155"/>
      <c r="B240" s="173"/>
      <c r="C240" s="155"/>
      <c r="D240" s="155"/>
      <c r="E240" s="157"/>
      <c r="F240" s="113"/>
      <c r="G240" s="113"/>
      <c r="H240" s="113"/>
      <c r="I240" s="158"/>
      <c r="J240" s="113"/>
      <c r="K240" s="113"/>
      <c r="L240" s="113"/>
      <c r="M240" s="113"/>
      <c r="N240" s="113"/>
      <c r="O240" s="113"/>
      <c r="P240" s="113"/>
    </row>
    <row r="241" spans="1:16" x14ac:dyDescent="0.45">
      <c r="A241" s="155"/>
      <c r="B241" s="173"/>
      <c r="C241" s="155"/>
      <c r="D241" s="155"/>
      <c r="E241" s="157"/>
      <c r="F241" s="113"/>
      <c r="G241" s="113"/>
      <c r="H241" s="113"/>
      <c r="I241" s="158"/>
      <c r="J241" s="113"/>
      <c r="K241" s="113"/>
      <c r="L241" s="113"/>
      <c r="M241" s="113"/>
      <c r="N241" s="113"/>
      <c r="O241" s="113"/>
      <c r="P241" s="113"/>
    </row>
    <row r="242" spans="1:16" x14ac:dyDescent="0.45">
      <c r="A242" s="155"/>
      <c r="B242" s="173"/>
      <c r="C242" s="155"/>
      <c r="D242" s="155"/>
      <c r="E242" s="157"/>
      <c r="F242" s="113"/>
      <c r="G242" s="113"/>
      <c r="H242" s="113"/>
      <c r="I242" s="158"/>
      <c r="J242" s="113"/>
      <c r="K242" s="113"/>
      <c r="L242" s="113"/>
      <c r="M242" s="113"/>
      <c r="N242" s="113"/>
      <c r="O242" s="113"/>
      <c r="P242" s="113"/>
    </row>
    <row r="243" spans="1:16" x14ac:dyDescent="0.45">
      <c r="A243" s="155"/>
      <c r="B243" s="173"/>
      <c r="C243" s="155"/>
      <c r="D243" s="155"/>
      <c r="E243" s="157"/>
      <c r="F243" s="113"/>
      <c r="G243" s="113"/>
      <c r="H243" s="113"/>
      <c r="I243" s="158"/>
      <c r="J243" s="113"/>
      <c r="K243" s="113"/>
      <c r="L243" s="113"/>
      <c r="M243" s="113"/>
      <c r="N243" s="113"/>
      <c r="O243" s="113"/>
      <c r="P243" s="113"/>
    </row>
    <row r="244" spans="1:16" x14ac:dyDescent="0.45">
      <c r="A244" s="155"/>
      <c r="B244" s="173"/>
      <c r="C244" s="155"/>
      <c r="D244" s="155"/>
      <c r="E244" s="157"/>
      <c r="F244" s="113"/>
      <c r="G244" s="113"/>
      <c r="H244" s="113"/>
      <c r="I244" s="158"/>
      <c r="J244" s="113"/>
      <c r="K244" s="113"/>
      <c r="L244" s="113"/>
      <c r="M244" s="113"/>
      <c r="N244" s="113"/>
      <c r="O244" s="113"/>
      <c r="P244" s="113"/>
    </row>
    <row r="245" spans="1:16" x14ac:dyDescent="0.45">
      <c r="A245" s="155"/>
      <c r="B245" s="173"/>
      <c r="C245" s="155"/>
      <c r="D245" s="155"/>
      <c r="E245" s="157"/>
      <c r="F245" s="113"/>
      <c r="G245" s="113"/>
      <c r="H245" s="113"/>
      <c r="I245" s="158"/>
      <c r="J245" s="113"/>
      <c r="K245" s="113"/>
      <c r="L245" s="113"/>
      <c r="M245" s="113"/>
      <c r="N245" s="113"/>
      <c r="O245" s="113"/>
      <c r="P245" s="113"/>
    </row>
    <row r="246" spans="1:16" x14ac:dyDescent="0.45">
      <c r="A246" s="155"/>
      <c r="B246" s="173"/>
      <c r="C246" s="155"/>
      <c r="D246" s="155"/>
      <c r="E246" s="157"/>
      <c r="F246" s="113"/>
      <c r="G246" s="113"/>
      <c r="H246" s="113"/>
      <c r="I246" s="158"/>
      <c r="J246" s="113"/>
      <c r="K246" s="113"/>
      <c r="L246" s="113"/>
      <c r="M246" s="113"/>
      <c r="N246" s="113"/>
      <c r="O246" s="113"/>
      <c r="P246" s="113"/>
    </row>
    <row r="247" spans="1:16" x14ac:dyDescent="0.45">
      <c r="A247" s="155"/>
      <c r="B247" s="173"/>
      <c r="C247" s="155"/>
      <c r="D247" s="155"/>
      <c r="E247" s="157"/>
      <c r="F247" s="113"/>
      <c r="G247" s="113"/>
      <c r="H247" s="113"/>
      <c r="I247" s="158"/>
      <c r="J247" s="113"/>
      <c r="K247" s="113"/>
      <c r="L247" s="113"/>
      <c r="M247" s="113"/>
      <c r="N247" s="113"/>
      <c r="O247" s="113"/>
      <c r="P247" s="113"/>
    </row>
    <row r="248" spans="1:16" x14ac:dyDescent="0.45">
      <c r="A248" s="155"/>
      <c r="B248" s="173"/>
      <c r="C248" s="155"/>
      <c r="D248" s="155"/>
      <c r="E248" s="157"/>
      <c r="F248" s="113"/>
      <c r="G248" s="113"/>
      <c r="H248" s="113"/>
      <c r="I248" s="158"/>
      <c r="J248" s="113"/>
      <c r="K248" s="113"/>
      <c r="L248" s="113"/>
      <c r="M248" s="113"/>
      <c r="N248" s="113"/>
      <c r="O248" s="113"/>
      <c r="P248" s="113"/>
    </row>
    <row r="249" spans="1:16" x14ac:dyDescent="0.45">
      <c r="A249" s="155"/>
      <c r="B249" s="173"/>
      <c r="C249" s="155"/>
      <c r="D249" s="155"/>
      <c r="E249" s="157"/>
      <c r="F249" s="113"/>
      <c r="G249" s="113"/>
      <c r="H249" s="113"/>
      <c r="I249" s="158"/>
      <c r="J249" s="113"/>
      <c r="K249" s="113"/>
      <c r="L249" s="113"/>
      <c r="M249" s="113"/>
      <c r="N249" s="113"/>
      <c r="O249" s="113"/>
      <c r="P249" s="113"/>
    </row>
    <row r="250" spans="1:16" x14ac:dyDescent="0.45">
      <c r="A250" s="155"/>
      <c r="B250" s="173"/>
      <c r="C250" s="155"/>
      <c r="D250" s="155"/>
      <c r="E250" s="157"/>
      <c r="F250" s="113"/>
      <c r="G250" s="113"/>
      <c r="H250" s="113"/>
      <c r="I250" s="158"/>
      <c r="J250" s="113"/>
      <c r="K250" s="113"/>
      <c r="L250" s="113"/>
      <c r="M250" s="113"/>
      <c r="N250" s="113"/>
      <c r="O250" s="113"/>
      <c r="P250" s="113"/>
    </row>
    <row r="251" spans="1:16" x14ac:dyDescent="0.45">
      <c r="A251" s="155"/>
      <c r="B251" s="173"/>
      <c r="C251" s="155"/>
      <c r="D251" s="155"/>
      <c r="E251" s="157"/>
      <c r="F251" s="113"/>
      <c r="G251" s="113"/>
      <c r="H251" s="113"/>
      <c r="I251" s="158"/>
      <c r="J251" s="113"/>
      <c r="K251" s="113"/>
      <c r="L251" s="113"/>
      <c r="M251" s="113"/>
      <c r="N251" s="113"/>
      <c r="O251" s="113"/>
      <c r="P251" s="113"/>
    </row>
    <row r="252" spans="1:16" x14ac:dyDescent="0.45">
      <c r="A252" s="155"/>
      <c r="B252" s="173"/>
      <c r="C252" s="155"/>
      <c r="D252" s="155"/>
      <c r="E252" s="157"/>
      <c r="F252" s="113"/>
      <c r="G252" s="113"/>
      <c r="H252" s="113"/>
      <c r="I252" s="158"/>
      <c r="J252" s="113"/>
      <c r="K252" s="113"/>
      <c r="L252" s="113"/>
      <c r="M252" s="113"/>
      <c r="N252" s="113"/>
      <c r="O252" s="113"/>
      <c r="P252" s="113"/>
    </row>
    <row r="253" spans="1:16" x14ac:dyDescent="0.45">
      <c r="A253" s="155"/>
      <c r="B253" s="173"/>
      <c r="C253" s="155"/>
      <c r="D253" s="155"/>
      <c r="E253" s="157"/>
      <c r="F253" s="113"/>
      <c r="G253" s="113"/>
      <c r="H253" s="113"/>
      <c r="I253" s="158"/>
      <c r="J253" s="113"/>
      <c r="K253" s="113"/>
      <c r="L253" s="113"/>
      <c r="M253" s="113"/>
      <c r="N253" s="113"/>
      <c r="O253" s="113"/>
      <c r="P253" s="113"/>
    </row>
    <row r="254" spans="1:16" x14ac:dyDescent="0.45">
      <c r="A254" s="155"/>
      <c r="B254" s="173"/>
      <c r="C254" s="155"/>
      <c r="D254" s="155"/>
      <c r="E254" s="157"/>
      <c r="F254" s="113"/>
      <c r="G254" s="113"/>
      <c r="H254" s="113"/>
      <c r="I254" s="158"/>
      <c r="J254" s="113"/>
      <c r="K254" s="113"/>
      <c r="L254" s="113"/>
      <c r="M254" s="113"/>
      <c r="N254" s="113"/>
      <c r="O254" s="113"/>
      <c r="P254" s="113"/>
    </row>
    <row r="255" spans="1:16" x14ac:dyDescent="0.45">
      <c r="A255" s="155"/>
      <c r="B255" s="173"/>
      <c r="C255" s="155"/>
      <c r="D255" s="155"/>
      <c r="E255" s="157"/>
      <c r="F255" s="113"/>
      <c r="G255" s="113"/>
      <c r="H255" s="113"/>
      <c r="I255" s="158"/>
      <c r="J255" s="113"/>
      <c r="K255" s="113"/>
      <c r="L255" s="113"/>
      <c r="M255" s="113"/>
      <c r="N255" s="113"/>
      <c r="O255" s="113"/>
      <c r="P255" s="113"/>
    </row>
    <row r="259" spans="1:16" ht="21.75" x14ac:dyDescent="0.45">
      <c r="A259" s="714" t="s">
        <v>517</v>
      </c>
      <c r="B259" s="714"/>
      <c r="C259" s="714"/>
      <c r="D259" s="714"/>
      <c r="E259" s="714" t="s">
        <v>518</v>
      </c>
      <c r="F259" s="714"/>
      <c r="G259" s="714"/>
      <c r="H259" s="714" t="s">
        <v>518</v>
      </c>
      <c r="I259" s="714"/>
      <c r="J259" s="714"/>
      <c r="K259" s="714"/>
      <c r="L259" s="715" t="s">
        <v>519</v>
      </c>
      <c r="M259" s="715"/>
      <c r="N259" s="715"/>
      <c r="O259" s="715"/>
      <c r="P259" s="244"/>
    </row>
    <row r="260" spans="1:16" ht="21.75" x14ac:dyDescent="0.45">
      <c r="A260" s="714" t="s">
        <v>785</v>
      </c>
      <c r="B260" s="714"/>
      <c r="C260" s="714"/>
      <c r="D260" s="714"/>
      <c r="E260" s="714" t="s">
        <v>786</v>
      </c>
      <c r="F260" s="714"/>
      <c r="G260" s="714"/>
      <c r="H260" s="714" t="s">
        <v>520</v>
      </c>
      <c r="I260" s="714"/>
      <c r="J260" s="714"/>
      <c r="K260" s="714"/>
      <c r="L260" s="715" t="s">
        <v>521</v>
      </c>
      <c r="M260" s="715"/>
      <c r="N260" s="715"/>
      <c r="O260" s="715"/>
      <c r="P260" s="244"/>
    </row>
    <row r="261" spans="1:16" ht="21.75" x14ac:dyDescent="0.45">
      <c r="A261" s="714" t="s">
        <v>787</v>
      </c>
      <c r="B261" s="714"/>
      <c r="C261" s="714"/>
      <c r="D261" s="714"/>
      <c r="E261" s="714" t="s">
        <v>522</v>
      </c>
      <c r="F261" s="714"/>
      <c r="G261" s="714"/>
      <c r="H261" s="714" t="s">
        <v>523</v>
      </c>
      <c r="I261" s="714"/>
      <c r="J261" s="714"/>
      <c r="K261" s="714"/>
      <c r="L261" s="715" t="s">
        <v>524</v>
      </c>
      <c r="M261" s="715"/>
      <c r="N261" s="715"/>
      <c r="O261" s="715"/>
      <c r="P261" s="244"/>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261:D261"/>
    <mergeCell ref="E261:G261"/>
    <mergeCell ref="H261:K261"/>
    <mergeCell ref="L261:O261"/>
    <mergeCell ref="J6:K6"/>
    <mergeCell ref="A260:D260"/>
    <mergeCell ref="E260:G260"/>
    <mergeCell ref="H260:K260"/>
    <mergeCell ref="L260:O260"/>
    <mergeCell ref="A96:H96"/>
    <mergeCell ref="A259:D259"/>
    <mergeCell ref="E259:G259"/>
    <mergeCell ref="H259:K259"/>
    <mergeCell ref="L259:O25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5"/>
  <sheetViews>
    <sheetView topLeftCell="A61" workbookViewId="0">
      <selection activeCell="A3" sqref="A3:O3"/>
    </sheetView>
  </sheetViews>
  <sheetFormatPr defaultRowHeight="17.25" x14ac:dyDescent="0.3"/>
  <cols>
    <col min="1" max="1" width="4.625" style="155" customWidth="1"/>
    <col min="2" max="2" width="9.125" style="173"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54" t="s">
        <v>250</v>
      </c>
      <c r="B1" s="754"/>
      <c r="C1" s="754"/>
      <c r="D1" s="754"/>
      <c r="E1" s="754"/>
      <c r="F1" s="754"/>
      <c r="G1" s="754"/>
      <c r="H1" s="754"/>
      <c r="I1" s="754"/>
      <c r="J1" s="754"/>
      <c r="K1" s="754"/>
      <c r="L1" s="754"/>
      <c r="M1" s="754"/>
      <c r="N1" s="754"/>
      <c r="O1" s="754"/>
    </row>
    <row r="2" spans="1:16" ht="18.75" x14ac:dyDescent="0.3">
      <c r="A2" s="754" t="s">
        <v>251</v>
      </c>
      <c r="B2" s="754"/>
      <c r="C2" s="754"/>
      <c r="D2" s="754"/>
      <c r="E2" s="754"/>
      <c r="F2" s="754"/>
      <c r="G2" s="754"/>
      <c r="H2" s="754"/>
      <c r="I2" s="754"/>
      <c r="J2" s="754"/>
      <c r="K2" s="754"/>
      <c r="L2" s="754"/>
      <c r="M2" s="754"/>
      <c r="N2" s="754"/>
      <c r="O2" s="754"/>
    </row>
    <row r="3" spans="1:16" ht="18.75" x14ac:dyDescent="0.3">
      <c r="A3" s="754" t="s">
        <v>525</v>
      </c>
      <c r="B3" s="754"/>
      <c r="C3" s="754"/>
      <c r="D3" s="754"/>
      <c r="E3" s="754"/>
      <c r="F3" s="754"/>
      <c r="G3" s="754"/>
      <c r="H3" s="754"/>
      <c r="I3" s="754"/>
      <c r="J3" s="754"/>
      <c r="K3" s="754"/>
      <c r="L3" s="754"/>
      <c r="M3" s="754"/>
      <c r="N3" s="754"/>
      <c r="O3" s="754"/>
    </row>
    <row r="4" spans="1:16" s="117" customFormat="1" ht="8.1" customHeight="1" x14ac:dyDescent="0.3">
      <c r="A4" s="114"/>
      <c r="B4" s="159"/>
      <c r="C4" s="114"/>
      <c r="D4" s="114"/>
      <c r="E4" s="116"/>
      <c r="I4" s="118"/>
    </row>
    <row r="5" spans="1:16" s="121" customFormat="1" ht="38.1" customHeight="1" x14ac:dyDescent="0.3">
      <c r="A5" s="755" t="s">
        <v>253</v>
      </c>
      <c r="B5" s="758" t="s">
        <v>254</v>
      </c>
      <c r="C5" s="759"/>
      <c r="D5" s="759"/>
      <c r="E5" s="759"/>
      <c r="F5" s="759"/>
      <c r="G5" s="759"/>
      <c r="H5" s="759"/>
      <c r="I5" s="760"/>
      <c r="J5" s="761" t="s">
        <v>255</v>
      </c>
      <c r="K5" s="762"/>
      <c r="L5" s="763"/>
      <c r="M5" s="763"/>
      <c r="N5" s="119"/>
      <c r="O5" s="755" t="s">
        <v>256</v>
      </c>
      <c r="P5" s="120"/>
    </row>
    <row r="6" spans="1:16" s="122" customFormat="1" ht="57.95" customHeight="1" x14ac:dyDescent="0.2">
      <c r="A6" s="756"/>
      <c r="B6" s="764" t="s">
        <v>257</v>
      </c>
      <c r="C6" s="765" t="s">
        <v>2</v>
      </c>
      <c r="D6" s="765" t="s">
        <v>258</v>
      </c>
      <c r="E6" s="755" t="s">
        <v>259</v>
      </c>
      <c r="F6" s="765" t="s">
        <v>260</v>
      </c>
      <c r="G6" s="765" t="s">
        <v>261</v>
      </c>
      <c r="H6" s="765" t="s">
        <v>262</v>
      </c>
      <c r="I6" s="767" t="s">
        <v>263</v>
      </c>
      <c r="J6" s="749" t="s">
        <v>264</v>
      </c>
      <c r="K6" s="750"/>
      <c r="L6" s="749" t="s">
        <v>265</v>
      </c>
      <c r="M6" s="750"/>
      <c r="N6" s="766"/>
      <c r="O6" s="756"/>
    </row>
    <row r="7" spans="1:16" s="121" customFormat="1" ht="60" customHeight="1" x14ac:dyDescent="0.3">
      <c r="A7" s="757"/>
      <c r="B7" s="764"/>
      <c r="C7" s="765"/>
      <c r="D7" s="765"/>
      <c r="E7" s="757"/>
      <c r="F7" s="765"/>
      <c r="G7" s="765"/>
      <c r="H7" s="765"/>
      <c r="I7" s="767"/>
      <c r="J7" s="123" t="s">
        <v>266</v>
      </c>
      <c r="K7" s="123" t="s">
        <v>267</v>
      </c>
      <c r="L7" s="123" t="s">
        <v>266</v>
      </c>
      <c r="M7" s="123" t="s">
        <v>267</v>
      </c>
      <c r="N7" s="123" t="s">
        <v>268</v>
      </c>
      <c r="O7" s="757"/>
      <c r="P7" s="120"/>
    </row>
    <row r="8" spans="1:16" ht="20.100000000000001" customHeight="1" x14ac:dyDescent="0.3">
      <c r="A8" s="124" t="s">
        <v>526</v>
      </c>
      <c r="B8" s="160"/>
      <c r="C8" s="126"/>
      <c r="D8" s="126"/>
      <c r="E8" s="127"/>
      <c r="F8" s="128"/>
      <c r="G8" s="128"/>
      <c r="H8" s="128"/>
      <c r="I8" s="129">
        <f>SUM(I9:I11)</f>
        <v>295000</v>
      </c>
      <c r="J8" s="129">
        <f t="shared" ref="J8:O8" si="0">SUM(J9:J11)</f>
        <v>35000</v>
      </c>
      <c r="K8" s="129">
        <f t="shared" si="0"/>
        <v>35000</v>
      </c>
      <c r="L8" s="129">
        <f t="shared" si="0"/>
        <v>0</v>
      </c>
      <c r="M8" s="129">
        <f t="shared" si="0"/>
        <v>0</v>
      </c>
      <c r="N8" s="129">
        <f t="shared" si="0"/>
        <v>0</v>
      </c>
      <c r="O8" s="129">
        <f t="shared" si="0"/>
        <v>225000</v>
      </c>
    </row>
    <row r="9" spans="1:16" s="138" customFormat="1" ht="80.099999999999994" customHeight="1" x14ac:dyDescent="0.2">
      <c r="A9" s="130">
        <v>1</v>
      </c>
      <c r="B9" s="161">
        <v>241712</v>
      </c>
      <c r="C9" s="132" t="s">
        <v>527</v>
      </c>
      <c r="D9" s="133" t="s">
        <v>528</v>
      </c>
      <c r="E9" s="134" t="s">
        <v>529</v>
      </c>
      <c r="F9" s="134" t="s">
        <v>526</v>
      </c>
      <c r="G9" s="134" t="s">
        <v>530</v>
      </c>
      <c r="H9" s="135" t="s">
        <v>531</v>
      </c>
      <c r="I9" s="136">
        <v>20000</v>
      </c>
      <c r="J9" s="137">
        <v>10000</v>
      </c>
      <c r="K9" s="137">
        <v>10000</v>
      </c>
      <c r="L9" s="137">
        <v>0</v>
      </c>
      <c r="M9" s="137">
        <v>0</v>
      </c>
      <c r="N9" s="137">
        <v>0</v>
      </c>
      <c r="O9" s="137">
        <f>+I9-(SUM(J9:N9))</f>
        <v>0</v>
      </c>
    </row>
    <row r="10" spans="1:16" s="138" customFormat="1" ht="90" customHeight="1" x14ac:dyDescent="0.2">
      <c r="A10" s="130">
        <v>2</v>
      </c>
      <c r="B10" s="162" t="s">
        <v>532</v>
      </c>
      <c r="C10" s="142" t="s">
        <v>533</v>
      </c>
      <c r="D10" s="141" t="s">
        <v>534</v>
      </c>
      <c r="E10" s="143" t="s">
        <v>529</v>
      </c>
      <c r="F10" s="143" t="s">
        <v>526</v>
      </c>
      <c r="G10" s="143" t="s">
        <v>535</v>
      </c>
      <c r="H10" s="144" t="s">
        <v>536</v>
      </c>
      <c r="I10" s="137">
        <v>250000</v>
      </c>
      <c r="J10" s="137">
        <v>12500</v>
      </c>
      <c r="K10" s="137">
        <v>12500</v>
      </c>
      <c r="L10" s="137">
        <v>0</v>
      </c>
      <c r="M10" s="137">
        <v>0</v>
      </c>
      <c r="N10" s="137">
        <v>0</v>
      </c>
      <c r="O10" s="137">
        <f>+I10-(SUM(J10:N10))</f>
        <v>225000</v>
      </c>
    </row>
    <row r="11" spans="1:16" s="138" customFormat="1" ht="129.94999999999999" customHeight="1" x14ac:dyDescent="0.2">
      <c r="A11" s="130">
        <v>3</v>
      </c>
      <c r="B11" s="162" t="s">
        <v>537</v>
      </c>
      <c r="C11" s="142" t="s">
        <v>538</v>
      </c>
      <c r="D11" s="141" t="s">
        <v>539</v>
      </c>
      <c r="E11" s="143" t="s">
        <v>529</v>
      </c>
      <c r="F11" s="143" t="s">
        <v>526</v>
      </c>
      <c r="G11" s="143" t="s">
        <v>540</v>
      </c>
      <c r="H11" s="144" t="s">
        <v>541</v>
      </c>
      <c r="I11" s="137">
        <v>25000</v>
      </c>
      <c r="J11" s="137">
        <v>12500</v>
      </c>
      <c r="K11" s="137">
        <v>12500</v>
      </c>
      <c r="L11" s="137">
        <v>0</v>
      </c>
      <c r="M11" s="137">
        <v>0</v>
      </c>
      <c r="N11" s="137">
        <v>0</v>
      </c>
      <c r="O11" s="137">
        <f>+I11-(SUM(J11:N11))</f>
        <v>0</v>
      </c>
    </row>
    <row r="12" spans="1:16" ht="20.100000000000001" customHeight="1" x14ac:dyDescent="0.3">
      <c r="A12" s="124" t="s">
        <v>269</v>
      </c>
      <c r="B12" s="160"/>
      <c r="C12" s="126"/>
      <c r="D12" s="126"/>
      <c r="E12" s="127"/>
      <c r="F12" s="128"/>
      <c r="G12" s="128"/>
      <c r="H12" s="128"/>
      <c r="I12" s="129">
        <f>SUM(I13:I48)</f>
        <v>6321118</v>
      </c>
      <c r="J12" s="129">
        <f t="shared" ref="J12:O12" si="1">SUM(J13:J48)</f>
        <v>311507.90000000002</v>
      </c>
      <c r="K12" s="129">
        <f t="shared" si="1"/>
        <v>311507.90000000002</v>
      </c>
      <c r="L12" s="129">
        <f t="shared" si="1"/>
        <v>38140</v>
      </c>
      <c r="M12" s="129">
        <f t="shared" si="1"/>
        <v>51570</v>
      </c>
      <c r="N12" s="129">
        <f t="shared" si="1"/>
        <v>0</v>
      </c>
      <c r="O12" s="129">
        <f t="shared" si="1"/>
        <v>5608392.1999999993</v>
      </c>
    </row>
    <row r="13" spans="1:16" s="138" customFormat="1" ht="90" customHeight="1" x14ac:dyDescent="0.2">
      <c r="A13" s="130">
        <v>1</v>
      </c>
      <c r="B13" s="161">
        <v>241709</v>
      </c>
      <c r="C13" s="132" t="s">
        <v>542</v>
      </c>
      <c r="D13" s="133" t="s">
        <v>543</v>
      </c>
      <c r="E13" s="134" t="s">
        <v>115</v>
      </c>
      <c r="F13" s="134" t="s">
        <v>117</v>
      </c>
      <c r="G13" s="134" t="s">
        <v>544</v>
      </c>
      <c r="H13" s="135" t="s">
        <v>545</v>
      </c>
      <c r="I13" s="136">
        <v>422000</v>
      </c>
      <c r="J13" s="137">
        <v>21100</v>
      </c>
      <c r="K13" s="137">
        <v>21100</v>
      </c>
      <c r="L13" s="137">
        <v>0</v>
      </c>
      <c r="M13" s="137">
        <v>0</v>
      </c>
      <c r="N13" s="137">
        <v>0</v>
      </c>
      <c r="O13" s="137">
        <f>+I13-(SUM(J13:N13))</f>
        <v>379800</v>
      </c>
    </row>
    <row r="14" spans="1:16" s="138" customFormat="1" ht="90" customHeight="1" x14ac:dyDescent="0.2">
      <c r="A14" s="130">
        <v>2</v>
      </c>
      <c r="B14" s="161">
        <v>241709</v>
      </c>
      <c r="C14" s="132" t="s">
        <v>546</v>
      </c>
      <c r="D14" s="133" t="s">
        <v>547</v>
      </c>
      <c r="E14" s="134" t="s">
        <v>115</v>
      </c>
      <c r="F14" s="134" t="s">
        <v>117</v>
      </c>
      <c r="G14" s="134" t="s">
        <v>548</v>
      </c>
      <c r="H14" s="135" t="s">
        <v>545</v>
      </c>
      <c r="I14" s="136">
        <v>583000</v>
      </c>
      <c r="J14" s="137">
        <v>29150</v>
      </c>
      <c r="K14" s="137">
        <v>29150</v>
      </c>
      <c r="L14" s="137">
        <v>0</v>
      </c>
      <c r="M14" s="137">
        <v>0</v>
      </c>
      <c r="N14" s="137">
        <v>0</v>
      </c>
      <c r="O14" s="137">
        <f t="shared" ref="O14:O48" si="2">+I14-(SUM(J14:N14))</f>
        <v>524700</v>
      </c>
    </row>
    <row r="15" spans="1:16" s="138" customFormat="1" ht="90" customHeight="1" x14ac:dyDescent="0.2">
      <c r="A15" s="130">
        <v>3</v>
      </c>
      <c r="B15" s="161">
        <v>241719</v>
      </c>
      <c r="C15" s="132" t="s">
        <v>549</v>
      </c>
      <c r="D15" s="133" t="s">
        <v>550</v>
      </c>
      <c r="E15" s="134" t="s">
        <v>115</v>
      </c>
      <c r="F15" s="134" t="s">
        <v>117</v>
      </c>
      <c r="G15" s="134" t="s">
        <v>551</v>
      </c>
      <c r="H15" s="135" t="s">
        <v>545</v>
      </c>
      <c r="I15" s="136">
        <v>480000</v>
      </c>
      <c r="J15" s="137">
        <v>24000</v>
      </c>
      <c r="K15" s="137">
        <v>24000</v>
      </c>
      <c r="L15" s="137">
        <v>0</v>
      </c>
      <c r="M15" s="137">
        <v>0</v>
      </c>
      <c r="N15" s="137">
        <v>0</v>
      </c>
      <c r="O15" s="137">
        <f t="shared" si="2"/>
        <v>432000</v>
      </c>
    </row>
    <row r="16" spans="1:16" s="138" customFormat="1" ht="90" customHeight="1" x14ac:dyDescent="0.2">
      <c r="A16" s="130">
        <v>4</v>
      </c>
      <c r="B16" s="161">
        <v>241731</v>
      </c>
      <c r="C16" s="132" t="s">
        <v>552</v>
      </c>
      <c r="D16" s="133" t="s">
        <v>553</v>
      </c>
      <c r="E16" s="134" t="s">
        <v>115</v>
      </c>
      <c r="F16" s="134" t="s">
        <v>117</v>
      </c>
      <c r="G16" s="134" t="s">
        <v>554</v>
      </c>
      <c r="H16" s="135" t="s">
        <v>545</v>
      </c>
      <c r="I16" s="136">
        <v>505000</v>
      </c>
      <c r="J16" s="137">
        <v>25250</v>
      </c>
      <c r="K16" s="137">
        <v>25250</v>
      </c>
      <c r="L16" s="137">
        <v>0</v>
      </c>
      <c r="M16" s="137">
        <v>0</v>
      </c>
      <c r="N16" s="137">
        <v>0</v>
      </c>
      <c r="O16" s="137">
        <f t="shared" si="2"/>
        <v>454500</v>
      </c>
    </row>
    <row r="17" spans="1:15" s="138" customFormat="1" ht="90" customHeight="1" x14ac:dyDescent="0.2">
      <c r="A17" s="130">
        <v>5</v>
      </c>
      <c r="B17" s="162" t="s">
        <v>555</v>
      </c>
      <c r="C17" s="142" t="s">
        <v>556</v>
      </c>
      <c r="D17" s="141" t="s">
        <v>557</v>
      </c>
      <c r="E17" s="143" t="s">
        <v>115</v>
      </c>
      <c r="F17" s="143" t="s">
        <v>117</v>
      </c>
      <c r="G17" s="143" t="s">
        <v>558</v>
      </c>
      <c r="H17" s="144" t="s">
        <v>545</v>
      </c>
      <c r="I17" s="137">
        <v>304000</v>
      </c>
      <c r="J17" s="137">
        <v>15200</v>
      </c>
      <c r="K17" s="137">
        <v>15200</v>
      </c>
      <c r="L17" s="137">
        <v>0</v>
      </c>
      <c r="M17" s="137">
        <v>0</v>
      </c>
      <c r="N17" s="137">
        <v>0</v>
      </c>
      <c r="O17" s="137">
        <f t="shared" si="2"/>
        <v>273600</v>
      </c>
    </row>
    <row r="18" spans="1:15" s="138" customFormat="1" ht="150" customHeight="1" x14ac:dyDescent="0.2">
      <c r="A18" s="130">
        <v>6</v>
      </c>
      <c r="B18" s="162" t="s">
        <v>559</v>
      </c>
      <c r="C18" s="142" t="s">
        <v>560</v>
      </c>
      <c r="D18" s="141" t="s">
        <v>561</v>
      </c>
      <c r="E18" s="143" t="s">
        <v>335</v>
      </c>
      <c r="F18" s="143" t="s">
        <v>19</v>
      </c>
      <c r="G18" s="143" t="s">
        <v>336</v>
      </c>
      <c r="H18" s="144" t="s">
        <v>562</v>
      </c>
      <c r="I18" s="137">
        <v>95000</v>
      </c>
      <c r="J18" s="137">
        <v>4750</v>
      </c>
      <c r="K18" s="137">
        <v>4750</v>
      </c>
      <c r="L18" s="137">
        <v>0</v>
      </c>
      <c r="M18" s="137">
        <v>0</v>
      </c>
      <c r="N18" s="137">
        <v>0</v>
      </c>
      <c r="O18" s="137">
        <f t="shared" si="2"/>
        <v>85500</v>
      </c>
    </row>
    <row r="19" spans="1:15" s="138" customFormat="1" ht="90" customHeight="1" x14ac:dyDescent="0.2">
      <c r="A19" s="130">
        <v>7</v>
      </c>
      <c r="B19" s="162" t="s">
        <v>563</v>
      </c>
      <c r="C19" s="142" t="s">
        <v>564</v>
      </c>
      <c r="D19" s="141" t="s">
        <v>565</v>
      </c>
      <c r="E19" s="143" t="s">
        <v>115</v>
      </c>
      <c r="F19" s="143" t="s">
        <v>117</v>
      </c>
      <c r="G19" s="143" t="s">
        <v>566</v>
      </c>
      <c r="H19" s="144" t="s">
        <v>545</v>
      </c>
      <c r="I19" s="137">
        <v>648000</v>
      </c>
      <c r="J19" s="137">
        <v>32400</v>
      </c>
      <c r="K19" s="137">
        <v>32400</v>
      </c>
      <c r="L19" s="137">
        <v>0</v>
      </c>
      <c r="M19" s="137">
        <v>0</v>
      </c>
      <c r="N19" s="137">
        <v>0</v>
      </c>
      <c r="O19" s="137">
        <f t="shared" si="2"/>
        <v>583200</v>
      </c>
    </row>
    <row r="20" spans="1:15" s="138" customFormat="1" ht="90" customHeight="1" x14ac:dyDescent="0.2">
      <c r="A20" s="130">
        <v>8</v>
      </c>
      <c r="B20" s="162" t="s">
        <v>563</v>
      </c>
      <c r="C20" s="142" t="s">
        <v>567</v>
      </c>
      <c r="D20" s="141" t="s">
        <v>568</v>
      </c>
      <c r="E20" s="143" t="s">
        <v>115</v>
      </c>
      <c r="F20" s="143" t="s">
        <v>117</v>
      </c>
      <c r="G20" s="143" t="s">
        <v>318</v>
      </c>
      <c r="H20" s="144" t="s">
        <v>569</v>
      </c>
      <c r="I20" s="137">
        <v>1250</v>
      </c>
      <c r="J20" s="137">
        <v>0</v>
      </c>
      <c r="K20" s="137">
        <v>0</v>
      </c>
      <c r="L20" s="137">
        <v>0</v>
      </c>
      <c r="M20" s="137">
        <v>0</v>
      </c>
      <c r="N20" s="145" t="s">
        <v>311</v>
      </c>
      <c r="O20" s="137">
        <f t="shared" si="2"/>
        <v>1250</v>
      </c>
    </row>
    <row r="21" spans="1:15" s="138" customFormat="1" ht="110.1" customHeight="1" x14ac:dyDescent="0.2">
      <c r="A21" s="130">
        <v>9</v>
      </c>
      <c r="B21" s="162" t="s">
        <v>563</v>
      </c>
      <c r="C21" s="142" t="s">
        <v>316</v>
      </c>
      <c r="D21" s="141" t="s">
        <v>570</v>
      </c>
      <c r="E21" s="143" t="s">
        <v>302</v>
      </c>
      <c r="F21" s="143" t="s">
        <v>117</v>
      </c>
      <c r="G21" s="143" t="s">
        <v>441</v>
      </c>
      <c r="H21" s="144" t="s">
        <v>571</v>
      </c>
      <c r="I21" s="137">
        <v>36000</v>
      </c>
      <c r="J21" s="137">
        <v>1800</v>
      </c>
      <c r="K21" s="137">
        <v>1800</v>
      </c>
      <c r="L21" s="137">
        <v>0</v>
      </c>
      <c r="M21" s="137">
        <v>0</v>
      </c>
      <c r="N21" s="137">
        <v>0</v>
      </c>
      <c r="O21" s="137">
        <f t="shared" si="2"/>
        <v>32400</v>
      </c>
    </row>
    <row r="22" spans="1:15" s="138" customFormat="1" ht="90" customHeight="1" x14ac:dyDescent="0.2">
      <c r="A22" s="130">
        <v>10</v>
      </c>
      <c r="B22" s="162" t="s">
        <v>572</v>
      </c>
      <c r="C22" s="142" t="s">
        <v>573</v>
      </c>
      <c r="D22" s="141" t="s">
        <v>574</v>
      </c>
      <c r="E22" s="143" t="s">
        <v>115</v>
      </c>
      <c r="F22" s="143" t="s">
        <v>117</v>
      </c>
      <c r="G22" s="143" t="s">
        <v>575</v>
      </c>
      <c r="H22" s="144" t="s">
        <v>545</v>
      </c>
      <c r="I22" s="137">
        <v>387000</v>
      </c>
      <c r="J22" s="137">
        <v>19350</v>
      </c>
      <c r="K22" s="137">
        <v>19350</v>
      </c>
      <c r="L22" s="137">
        <v>0</v>
      </c>
      <c r="M22" s="137">
        <v>0</v>
      </c>
      <c r="N22" s="137">
        <v>0</v>
      </c>
      <c r="O22" s="137">
        <f t="shared" si="2"/>
        <v>348300</v>
      </c>
    </row>
    <row r="23" spans="1:15" s="138" customFormat="1" ht="90" customHeight="1" x14ac:dyDescent="0.2">
      <c r="A23" s="130">
        <v>11</v>
      </c>
      <c r="B23" s="162" t="s">
        <v>576</v>
      </c>
      <c r="C23" s="142" t="s">
        <v>577</v>
      </c>
      <c r="D23" s="141" t="s">
        <v>578</v>
      </c>
      <c r="E23" s="143" t="s">
        <v>115</v>
      </c>
      <c r="F23" s="143" t="s">
        <v>117</v>
      </c>
      <c r="G23" s="143" t="s">
        <v>289</v>
      </c>
      <c r="H23" s="144" t="s">
        <v>545</v>
      </c>
      <c r="I23" s="137">
        <v>80000</v>
      </c>
      <c r="J23" s="137">
        <v>4000</v>
      </c>
      <c r="K23" s="137">
        <v>4000</v>
      </c>
      <c r="L23" s="137">
        <v>0</v>
      </c>
      <c r="M23" s="137">
        <v>0</v>
      </c>
      <c r="N23" s="137">
        <v>0</v>
      </c>
      <c r="O23" s="137">
        <f t="shared" si="2"/>
        <v>72000</v>
      </c>
    </row>
    <row r="24" spans="1:15" s="138" customFormat="1" ht="90" customHeight="1" x14ac:dyDescent="0.2">
      <c r="A24" s="130">
        <v>12</v>
      </c>
      <c r="B24" s="162" t="s">
        <v>579</v>
      </c>
      <c r="C24" s="142" t="s">
        <v>580</v>
      </c>
      <c r="D24" s="141" t="s">
        <v>581</v>
      </c>
      <c r="E24" s="143" t="s">
        <v>115</v>
      </c>
      <c r="F24" s="143" t="s">
        <v>117</v>
      </c>
      <c r="G24" s="143" t="s">
        <v>318</v>
      </c>
      <c r="H24" s="144" t="s">
        <v>545</v>
      </c>
      <c r="I24" s="137">
        <v>19000</v>
      </c>
      <c r="J24" s="137">
        <v>950</v>
      </c>
      <c r="K24" s="137">
        <v>950</v>
      </c>
      <c r="L24" s="137">
        <v>0</v>
      </c>
      <c r="M24" s="137">
        <v>0</v>
      </c>
      <c r="N24" s="137">
        <v>0</v>
      </c>
      <c r="O24" s="137">
        <f t="shared" si="2"/>
        <v>17100</v>
      </c>
    </row>
    <row r="25" spans="1:15" s="138" customFormat="1" ht="90" customHeight="1" x14ac:dyDescent="0.2">
      <c r="A25" s="130">
        <v>13</v>
      </c>
      <c r="B25" s="162" t="s">
        <v>582</v>
      </c>
      <c r="C25" s="142" t="s">
        <v>583</v>
      </c>
      <c r="D25" s="141" t="s">
        <v>584</v>
      </c>
      <c r="E25" s="143" t="s">
        <v>115</v>
      </c>
      <c r="F25" s="143" t="s">
        <v>117</v>
      </c>
      <c r="G25" s="143" t="s">
        <v>441</v>
      </c>
      <c r="H25" s="144" t="s">
        <v>545</v>
      </c>
      <c r="I25" s="137">
        <v>69000</v>
      </c>
      <c r="J25" s="137">
        <v>3450</v>
      </c>
      <c r="K25" s="137">
        <v>3450</v>
      </c>
      <c r="L25" s="137">
        <v>0</v>
      </c>
      <c r="M25" s="137">
        <v>0</v>
      </c>
      <c r="N25" s="137">
        <v>0</v>
      </c>
      <c r="O25" s="137">
        <f t="shared" si="2"/>
        <v>62100</v>
      </c>
    </row>
    <row r="26" spans="1:15" s="138" customFormat="1" ht="90" customHeight="1" x14ac:dyDescent="0.2">
      <c r="A26" s="130">
        <v>14</v>
      </c>
      <c r="B26" s="162" t="s">
        <v>585</v>
      </c>
      <c r="C26" s="142" t="s">
        <v>586</v>
      </c>
      <c r="D26" s="141" t="s">
        <v>587</v>
      </c>
      <c r="E26" s="143" t="s">
        <v>115</v>
      </c>
      <c r="F26" s="143" t="s">
        <v>117</v>
      </c>
      <c r="G26" s="143" t="s">
        <v>303</v>
      </c>
      <c r="H26" s="144" t="s">
        <v>545</v>
      </c>
      <c r="I26" s="137">
        <v>50000</v>
      </c>
      <c r="J26" s="137">
        <v>2500</v>
      </c>
      <c r="K26" s="137">
        <v>2500</v>
      </c>
      <c r="L26" s="137">
        <v>0</v>
      </c>
      <c r="M26" s="137">
        <v>0</v>
      </c>
      <c r="N26" s="137">
        <v>0</v>
      </c>
      <c r="O26" s="137">
        <f t="shared" si="2"/>
        <v>45000</v>
      </c>
    </row>
    <row r="27" spans="1:15" s="138" customFormat="1" ht="147.94999999999999" customHeight="1" x14ac:dyDescent="0.2">
      <c r="A27" s="130">
        <v>15</v>
      </c>
      <c r="B27" s="162" t="s">
        <v>588</v>
      </c>
      <c r="C27" s="142" t="s">
        <v>589</v>
      </c>
      <c r="D27" s="141" t="s">
        <v>590</v>
      </c>
      <c r="E27" s="143" t="s">
        <v>335</v>
      </c>
      <c r="F27" s="143" t="s">
        <v>19</v>
      </c>
      <c r="G27" s="143" t="s">
        <v>336</v>
      </c>
      <c r="H27" s="144" t="s">
        <v>591</v>
      </c>
      <c r="I27" s="137">
        <v>50000</v>
      </c>
      <c r="J27" s="137">
        <v>2500</v>
      </c>
      <c r="K27" s="137">
        <v>2500</v>
      </c>
      <c r="L27" s="137">
        <v>0</v>
      </c>
      <c r="M27" s="137">
        <v>0</v>
      </c>
      <c r="N27" s="137">
        <v>0</v>
      </c>
      <c r="O27" s="137">
        <f t="shared" si="2"/>
        <v>45000</v>
      </c>
    </row>
    <row r="28" spans="1:15" s="138" customFormat="1" ht="117" customHeight="1" x14ac:dyDescent="0.2">
      <c r="A28" s="130">
        <v>16</v>
      </c>
      <c r="B28" s="162" t="s">
        <v>592</v>
      </c>
      <c r="C28" s="142" t="s">
        <v>593</v>
      </c>
      <c r="D28" s="141" t="s">
        <v>594</v>
      </c>
      <c r="E28" s="143" t="s">
        <v>595</v>
      </c>
      <c r="F28" s="143" t="s">
        <v>161</v>
      </c>
      <c r="G28" s="143" t="s">
        <v>596</v>
      </c>
      <c r="H28" s="144" t="s">
        <v>597</v>
      </c>
      <c r="I28" s="137">
        <v>150000</v>
      </c>
      <c r="J28" s="137">
        <v>7500</v>
      </c>
      <c r="K28" s="137">
        <v>7500</v>
      </c>
      <c r="L28" s="137">
        <v>0</v>
      </c>
      <c r="M28" s="137">
        <v>0</v>
      </c>
      <c r="N28" s="137">
        <v>0</v>
      </c>
      <c r="O28" s="137">
        <f t="shared" si="2"/>
        <v>135000</v>
      </c>
    </row>
    <row r="29" spans="1:15" s="138" customFormat="1" ht="95.1" customHeight="1" x14ac:dyDescent="0.2">
      <c r="A29" s="130">
        <v>17</v>
      </c>
      <c r="B29" s="162" t="s">
        <v>598</v>
      </c>
      <c r="C29" s="142" t="s">
        <v>599</v>
      </c>
      <c r="D29" s="141" t="s">
        <v>600</v>
      </c>
      <c r="E29" s="143" t="s">
        <v>115</v>
      </c>
      <c r="F29" s="143" t="s">
        <v>117</v>
      </c>
      <c r="G29" s="143" t="s">
        <v>601</v>
      </c>
      <c r="H29" s="144" t="s">
        <v>545</v>
      </c>
      <c r="I29" s="137">
        <v>10000</v>
      </c>
      <c r="J29" s="137">
        <v>500</v>
      </c>
      <c r="K29" s="137">
        <v>500</v>
      </c>
      <c r="L29" s="137">
        <v>0</v>
      </c>
      <c r="M29" s="137">
        <v>0</v>
      </c>
      <c r="N29" s="137">
        <v>0</v>
      </c>
      <c r="O29" s="137">
        <f t="shared" si="2"/>
        <v>9000</v>
      </c>
    </row>
    <row r="30" spans="1:15" s="138" customFormat="1" ht="95.1" customHeight="1" x14ac:dyDescent="0.2">
      <c r="A30" s="130">
        <v>18</v>
      </c>
      <c r="B30" s="162" t="s">
        <v>602</v>
      </c>
      <c r="C30" s="142" t="s">
        <v>603</v>
      </c>
      <c r="D30" s="141" t="s">
        <v>604</v>
      </c>
      <c r="E30" s="143" t="s">
        <v>605</v>
      </c>
      <c r="F30" s="143" t="s">
        <v>360</v>
      </c>
      <c r="G30" s="143" t="s">
        <v>606</v>
      </c>
      <c r="H30" s="144" t="s">
        <v>607</v>
      </c>
      <c r="I30" s="137">
        <v>313500</v>
      </c>
      <c r="J30" s="137">
        <v>15675</v>
      </c>
      <c r="K30" s="137">
        <v>15675</v>
      </c>
      <c r="L30" s="137">
        <v>0</v>
      </c>
      <c r="M30" s="137">
        <v>0</v>
      </c>
      <c r="N30" s="137">
        <v>0</v>
      </c>
      <c r="O30" s="137">
        <f t="shared" si="2"/>
        <v>282150</v>
      </c>
    </row>
    <row r="31" spans="1:15" s="138" customFormat="1" ht="185.1" customHeight="1" x14ac:dyDescent="0.2">
      <c r="A31" s="130">
        <v>19</v>
      </c>
      <c r="B31" s="162" t="s">
        <v>608</v>
      </c>
      <c r="C31" s="142" t="s">
        <v>609</v>
      </c>
      <c r="D31" s="141" t="s">
        <v>610</v>
      </c>
      <c r="E31" s="143" t="s">
        <v>199</v>
      </c>
      <c r="F31" s="143" t="s">
        <v>19</v>
      </c>
      <c r="G31" s="143" t="s">
        <v>611</v>
      </c>
      <c r="H31" s="144" t="s">
        <v>612</v>
      </c>
      <c r="I31" s="137">
        <v>570000</v>
      </c>
      <c r="J31" s="137">
        <v>28500</v>
      </c>
      <c r="K31" s="137">
        <v>28500</v>
      </c>
      <c r="L31" s="137">
        <v>0</v>
      </c>
      <c r="M31" s="137">
        <v>0</v>
      </c>
      <c r="N31" s="137">
        <v>0</v>
      </c>
      <c r="O31" s="137">
        <f t="shared" si="2"/>
        <v>513000</v>
      </c>
    </row>
    <row r="32" spans="1:15" s="138" customFormat="1" ht="132" customHeight="1" x14ac:dyDescent="0.2">
      <c r="A32" s="130">
        <v>20</v>
      </c>
      <c r="B32" s="162" t="s">
        <v>613</v>
      </c>
      <c r="C32" s="142" t="s">
        <v>614</v>
      </c>
      <c r="D32" s="141" t="s">
        <v>615</v>
      </c>
      <c r="E32" s="143" t="s">
        <v>616</v>
      </c>
      <c r="F32" s="143" t="s">
        <v>117</v>
      </c>
      <c r="G32" s="143" t="s">
        <v>617</v>
      </c>
      <c r="H32" s="144" t="s">
        <v>618</v>
      </c>
      <c r="I32" s="137">
        <v>20000</v>
      </c>
      <c r="J32" s="137">
        <v>0</v>
      </c>
      <c r="K32" s="137">
        <v>0</v>
      </c>
      <c r="L32" s="137">
        <v>5000</v>
      </c>
      <c r="M32" s="137">
        <v>15000</v>
      </c>
      <c r="N32" s="137">
        <v>0</v>
      </c>
      <c r="O32" s="137">
        <f t="shared" si="2"/>
        <v>0</v>
      </c>
    </row>
    <row r="33" spans="1:15" s="138" customFormat="1" ht="120" customHeight="1" x14ac:dyDescent="0.2">
      <c r="A33" s="130">
        <v>21</v>
      </c>
      <c r="B33" s="162" t="s">
        <v>619</v>
      </c>
      <c r="C33" s="142" t="s">
        <v>620</v>
      </c>
      <c r="D33" s="141" t="s">
        <v>621</v>
      </c>
      <c r="E33" s="143" t="s">
        <v>622</v>
      </c>
      <c r="F33" s="143" t="s">
        <v>360</v>
      </c>
      <c r="G33" s="143" t="s">
        <v>623</v>
      </c>
      <c r="H33" s="144" t="s">
        <v>624</v>
      </c>
      <c r="I33" s="137">
        <v>28359</v>
      </c>
      <c r="J33" s="137">
        <v>1417.95</v>
      </c>
      <c r="K33" s="137">
        <v>1417.95</v>
      </c>
      <c r="L33" s="137">
        <v>0</v>
      </c>
      <c r="M33" s="137">
        <v>0</v>
      </c>
      <c r="N33" s="137">
        <v>0</v>
      </c>
      <c r="O33" s="137">
        <f t="shared" si="2"/>
        <v>25523.1</v>
      </c>
    </row>
    <row r="34" spans="1:15" s="138" customFormat="1" ht="110.1" customHeight="1" x14ac:dyDescent="0.2">
      <c r="A34" s="130">
        <v>22</v>
      </c>
      <c r="B34" s="162" t="s">
        <v>625</v>
      </c>
      <c r="C34" s="142" t="s">
        <v>626</v>
      </c>
      <c r="D34" s="141" t="s">
        <v>627</v>
      </c>
      <c r="E34" s="143" t="s">
        <v>628</v>
      </c>
      <c r="F34" s="143" t="s">
        <v>161</v>
      </c>
      <c r="G34" s="143" t="s">
        <v>617</v>
      </c>
      <c r="H34" s="144" t="s">
        <v>629</v>
      </c>
      <c r="I34" s="137">
        <v>12425</v>
      </c>
      <c r="J34" s="137">
        <v>0</v>
      </c>
      <c r="K34" s="137">
        <v>0</v>
      </c>
      <c r="L34" s="137">
        <v>12425</v>
      </c>
      <c r="M34" s="137">
        <v>0</v>
      </c>
      <c r="N34" s="137">
        <v>0</v>
      </c>
      <c r="O34" s="137">
        <f t="shared" si="2"/>
        <v>0</v>
      </c>
    </row>
    <row r="35" spans="1:15" s="138" customFormat="1" ht="120" customHeight="1" x14ac:dyDescent="0.2">
      <c r="A35" s="130">
        <v>23</v>
      </c>
      <c r="B35" s="162" t="s">
        <v>630</v>
      </c>
      <c r="C35" s="142" t="s">
        <v>631</v>
      </c>
      <c r="D35" s="141" t="s">
        <v>632</v>
      </c>
      <c r="E35" s="143" t="s">
        <v>595</v>
      </c>
      <c r="F35" s="143" t="s">
        <v>161</v>
      </c>
      <c r="G35" s="143" t="s">
        <v>596</v>
      </c>
      <c r="H35" s="144" t="s">
        <v>633</v>
      </c>
      <c r="I35" s="137">
        <v>150000</v>
      </c>
      <c r="J35" s="137">
        <v>7500</v>
      </c>
      <c r="K35" s="137">
        <v>7500</v>
      </c>
      <c r="L35" s="137">
        <v>0</v>
      </c>
      <c r="M35" s="137">
        <v>0</v>
      </c>
      <c r="N35" s="137">
        <v>0</v>
      </c>
      <c r="O35" s="137">
        <f t="shared" si="2"/>
        <v>135000</v>
      </c>
    </row>
    <row r="36" spans="1:15" s="138" customFormat="1" ht="140.1" customHeight="1" x14ac:dyDescent="0.2">
      <c r="A36" s="130">
        <v>24</v>
      </c>
      <c r="B36" s="162" t="s">
        <v>630</v>
      </c>
      <c r="C36" s="142" t="s">
        <v>634</v>
      </c>
      <c r="D36" s="141" t="s">
        <v>635</v>
      </c>
      <c r="E36" s="163" t="s">
        <v>605</v>
      </c>
      <c r="F36" s="143" t="s">
        <v>360</v>
      </c>
      <c r="G36" s="143" t="s">
        <v>636</v>
      </c>
      <c r="H36" s="144" t="s">
        <v>637</v>
      </c>
      <c r="I36" s="137">
        <v>36000</v>
      </c>
      <c r="J36" s="137">
        <v>1800</v>
      </c>
      <c r="K36" s="137">
        <v>1800</v>
      </c>
      <c r="L36" s="137">
        <v>0</v>
      </c>
      <c r="M36" s="137">
        <v>0</v>
      </c>
      <c r="N36" s="137">
        <v>0</v>
      </c>
      <c r="O36" s="137">
        <f t="shared" si="2"/>
        <v>32400</v>
      </c>
    </row>
    <row r="37" spans="1:15" s="138" customFormat="1" ht="99.95" customHeight="1" x14ac:dyDescent="0.2">
      <c r="A37" s="130">
        <v>25</v>
      </c>
      <c r="B37" s="162" t="s">
        <v>638</v>
      </c>
      <c r="C37" s="142" t="s">
        <v>639</v>
      </c>
      <c r="D37" s="141" t="s">
        <v>640</v>
      </c>
      <c r="E37" s="163" t="s">
        <v>605</v>
      </c>
      <c r="F37" s="143" t="s">
        <v>360</v>
      </c>
      <c r="G37" s="143" t="s">
        <v>606</v>
      </c>
      <c r="H37" s="144" t="s">
        <v>641</v>
      </c>
      <c r="I37" s="137">
        <v>522500</v>
      </c>
      <c r="J37" s="137">
        <v>26125</v>
      </c>
      <c r="K37" s="137">
        <v>26125</v>
      </c>
      <c r="L37" s="137">
        <v>0</v>
      </c>
      <c r="M37" s="137">
        <v>0</v>
      </c>
      <c r="N37" s="137">
        <v>0</v>
      </c>
      <c r="O37" s="137">
        <f t="shared" si="2"/>
        <v>470250</v>
      </c>
    </row>
    <row r="38" spans="1:15" s="138" customFormat="1" ht="111.95" customHeight="1" x14ac:dyDescent="0.2">
      <c r="A38" s="130">
        <v>26</v>
      </c>
      <c r="B38" s="162">
        <v>241947</v>
      </c>
      <c r="C38" s="142" t="s">
        <v>642</v>
      </c>
      <c r="D38" s="141" t="s">
        <v>643</v>
      </c>
      <c r="E38" s="143" t="s">
        <v>622</v>
      </c>
      <c r="F38" s="143" t="s">
        <v>360</v>
      </c>
      <c r="G38" s="143" t="s">
        <v>623</v>
      </c>
      <c r="H38" s="144" t="s">
        <v>644</v>
      </c>
      <c r="I38" s="137">
        <v>28359</v>
      </c>
      <c r="J38" s="137">
        <v>1417.95</v>
      </c>
      <c r="K38" s="137">
        <v>1417.95</v>
      </c>
      <c r="L38" s="137">
        <v>0</v>
      </c>
      <c r="M38" s="137">
        <v>0</v>
      </c>
      <c r="N38" s="137">
        <v>0</v>
      </c>
      <c r="O38" s="137">
        <f t="shared" si="2"/>
        <v>25523.1</v>
      </c>
    </row>
    <row r="39" spans="1:15" s="138" customFormat="1" ht="99.95" customHeight="1" x14ac:dyDescent="0.2">
      <c r="A39" s="130">
        <v>27</v>
      </c>
      <c r="B39" s="162">
        <v>241947</v>
      </c>
      <c r="C39" s="142" t="s">
        <v>645</v>
      </c>
      <c r="D39" s="141" t="s">
        <v>646</v>
      </c>
      <c r="E39" s="163" t="s">
        <v>647</v>
      </c>
      <c r="F39" s="143" t="s">
        <v>161</v>
      </c>
      <c r="G39" s="143" t="s">
        <v>617</v>
      </c>
      <c r="H39" s="144" t="s">
        <v>648</v>
      </c>
      <c r="I39" s="137">
        <v>35160</v>
      </c>
      <c r="J39" s="137">
        <v>0</v>
      </c>
      <c r="K39" s="137">
        <v>0</v>
      </c>
      <c r="L39" s="137">
        <v>8790</v>
      </c>
      <c r="M39" s="137">
        <v>26370</v>
      </c>
      <c r="N39" s="137">
        <v>0</v>
      </c>
      <c r="O39" s="137">
        <f t="shared" si="2"/>
        <v>0</v>
      </c>
    </row>
    <row r="40" spans="1:15" s="138" customFormat="1" ht="99.95" customHeight="1" x14ac:dyDescent="0.2">
      <c r="A40" s="130">
        <v>28</v>
      </c>
      <c r="B40" s="162">
        <v>241954</v>
      </c>
      <c r="C40" s="142" t="s">
        <v>649</v>
      </c>
      <c r="D40" s="141" t="s">
        <v>650</v>
      </c>
      <c r="E40" s="163" t="s">
        <v>651</v>
      </c>
      <c r="F40" s="143" t="s">
        <v>161</v>
      </c>
      <c r="G40" s="143" t="s">
        <v>617</v>
      </c>
      <c r="H40" s="144" t="s">
        <v>652</v>
      </c>
      <c r="I40" s="137">
        <v>8525</v>
      </c>
      <c r="J40" s="137">
        <v>0</v>
      </c>
      <c r="K40" s="137">
        <v>0</v>
      </c>
      <c r="L40" s="137">
        <v>8525</v>
      </c>
      <c r="M40" s="137">
        <v>0</v>
      </c>
      <c r="N40" s="137">
        <v>0</v>
      </c>
      <c r="O40" s="137">
        <f t="shared" si="2"/>
        <v>0</v>
      </c>
    </row>
    <row r="41" spans="1:15" s="138" customFormat="1" ht="99.95" customHeight="1" x14ac:dyDescent="0.2">
      <c r="A41" s="130">
        <v>29</v>
      </c>
      <c r="B41" s="162">
        <v>241956</v>
      </c>
      <c r="C41" s="142" t="s">
        <v>653</v>
      </c>
      <c r="D41" s="141" t="s">
        <v>654</v>
      </c>
      <c r="E41" s="163" t="s">
        <v>655</v>
      </c>
      <c r="F41" s="143" t="s">
        <v>117</v>
      </c>
      <c r="G41" s="143" t="s">
        <v>617</v>
      </c>
      <c r="H41" s="144" t="s">
        <v>656</v>
      </c>
      <c r="I41" s="137">
        <v>13600</v>
      </c>
      <c r="J41" s="137">
        <v>0</v>
      </c>
      <c r="K41" s="137">
        <v>0</v>
      </c>
      <c r="L41" s="137">
        <v>3400</v>
      </c>
      <c r="M41" s="137">
        <v>10200</v>
      </c>
      <c r="N41" s="137">
        <v>0</v>
      </c>
      <c r="O41" s="137">
        <f t="shared" si="2"/>
        <v>0</v>
      </c>
    </row>
    <row r="42" spans="1:15" s="138" customFormat="1" ht="120" customHeight="1" x14ac:dyDescent="0.2">
      <c r="A42" s="130">
        <v>30</v>
      </c>
      <c r="B42" s="162" t="s">
        <v>657</v>
      </c>
      <c r="C42" s="142" t="s">
        <v>658</v>
      </c>
      <c r="D42" s="141" t="s">
        <v>659</v>
      </c>
      <c r="E42" s="163" t="s">
        <v>622</v>
      </c>
      <c r="F42" s="143" t="s">
        <v>360</v>
      </c>
      <c r="G42" s="143" t="s">
        <v>623</v>
      </c>
      <c r="H42" s="144" t="s">
        <v>660</v>
      </c>
      <c r="I42" s="137">
        <v>28440</v>
      </c>
      <c r="J42" s="137">
        <v>1422</v>
      </c>
      <c r="K42" s="137">
        <v>1422</v>
      </c>
      <c r="L42" s="137"/>
      <c r="M42" s="137"/>
      <c r="N42" s="137"/>
      <c r="O42" s="137">
        <f t="shared" si="2"/>
        <v>25596</v>
      </c>
    </row>
    <row r="43" spans="1:15" s="138" customFormat="1" ht="147.94999999999999" customHeight="1" x14ac:dyDescent="0.2">
      <c r="A43" s="130">
        <v>31</v>
      </c>
      <c r="B43" s="162" t="s">
        <v>661</v>
      </c>
      <c r="C43" s="142" t="s">
        <v>662</v>
      </c>
      <c r="D43" s="141" t="s">
        <v>663</v>
      </c>
      <c r="E43" s="163" t="s">
        <v>199</v>
      </c>
      <c r="F43" s="143" t="s">
        <v>19</v>
      </c>
      <c r="G43" s="143" t="s">
        <v>664</v>
      </c>
      <c r="H43" s="144" t="s">
        <v>665</v>
      </c>
      <c r="I43" s="137">
        <v>75000</v>
      </c>
      <c r="J43" s="137">
        <v>3750</v>
      </c>
      <c r="K43" s="137">
        <v>3750</v>
      </c>
      <c r="L43" s="137">
        <v>0</v>
      </c>
      <c r="M43" s="137">
        <v>0</v>
      </c>
      <c r="N43" s="137">
        <v>0</v>
      </c>
      <c r="O43" s="137">
        <f t="shared" si="2"/>
        <v>67500</v>
      </c>
    </row>
    <row r="44" spans="1:15" s="138" customFormat="1" ht="99.95" customHeight="1" x14ac:dyDescent="0.2">
      <c r="A44" s="130">
        <v>32</v>
      </c>
      <c r="B44" s="162" t="s">
        <v>666</v>
      </c>
      <c r="C44" s="142" t="s">
        <v>667</v>
      </c>
      <c r="D44" s="141" t="s">
        <v>668</v>
      </c>
      <c r="E44" s="143" t="s">
        <v>115</v>
      </c>
      <c r="F44" s="143" t="s">
        <v>117</v>
      </c>
      <c r="G44" s="143" t="s">
        <v>303</v>
      </c>
      <c r="H44" s="144" t="s">
        <v>545</v>
      </c>
      <c r="I44" s="137">
        <v>60000</v>
      </c>
      <c r="J44" s="137">
        <v>3000</v>
      </c>
      <c r="K44" s="137">
        <v>3000</v>
      </c>
      <c r="L44" s="137">
        <v>0</v>
      </c>
      <c r="M44" s="137">
        <v>0</v>
      </c>
      <c r="N44" s="137">
        <v>0</v>
      </c>
      <c r="O44" s="137">
        <f t="shared" si="2"/>
        <v>54000</v>
      </c>
    </row>
    <row r="45" spans="1:15" s="138" customFormat="1" ht="99.95" customHeight="1" x14ac:dyDescent="0.2">
      <c r="A45" s="130">
        <v>33</v>
      </c>
      <c r="B45" s="162" t="s">
        <v>537</v>
      </c>
      <c r="C45" s="142" t="s">
        <v>669</v>
      </c>
      <c r="D45" s="141" t="s">
        <v>670</v>
      </c>
      <c r="E45" s="143" t="s">
        <v>115</v>
      </c>
      <c r="F45" s="143" t="s">
        <v>117</v>
      </c>
      <c r="G45" s="143" t="s">
        <v>303</v>
      </c>
      <c r="H45" s="144" t="s">
        <v>545</v>
      </c>
      <c r="I45" s="137">
        <v>44000</v>
      </c>
      <c r="J45" s="137">
        <v>2200</v>
      </c>
      <c r="K45" s="137">
        <v>2200</v>
      </c>
      <c r="L45" s="137">
        <v>0</v>
      </c>
      <c r="M45" s="137">
        <v>0</v>
      </c>
      <c r="N45" s="137">
        <v>0</v>
      </c>
      <c r="O45" s="137">
        <f t="shared" si="2"/>
        <v>39600</v>
      </c>
    </row>
    <row r="46" spans="1:15" s="138" customFormat="1" ht="99.95" customHeight="1" x14ac:dyDescent="0.2">
      <c r="A46" s="130">
        <v>34</v>
      </c>
      <c r="B46" s="162" t="s">
        <v>671</v>
      </c>
      <c r="C46" s="142" t="s">
        <v>672</v>
      </c>
      <c r="D46" s="141" t="s">
        <v>673</v>
      </c>
      <c r="E46" s="143" t="s">
        <v>115</v>
      </c>
      <c r="F46" s="143" t="s">
        <v>117</v>
      </c>
      <c r="G46" s="143" t="s">
        <v>303</v>
      </c>
      <c r="H46" s="144" t="s">
        <v>545</v>
      </c>
      <c r="I46" s="137">
        <v>40000</v>
      </c>
      <c r="J46" s="137">
        <v>2000</v>
      </c>
      <c r="K46" s="137">
        <v>2000</v>
      </c>
      <c r="L46" s="137">
        <v>0</v>
      </c>
      <c r="M46" s="137">
        <v>0</v>
      </c>
      <c r="N46" s="137">
        <v>0</v>
      </c>
      <c r="O46" s="137">
        <f t="shared" si="2"/>
        <v>36000</v>
      </c>
    </row>
    <row r="47" spans="1:15" s="138" customFormat="1" ht="99.95" customHeight="1" x14ac:dyDescent="0.2">
      <c r="A47" s="130">
        <v>35</v>
      </c>
      <c r="B47" s="162" t="s">
        <v>674</v>
      </c>
      <c r="C47" s="142" t="s">
        <v>675</v>
      </c>
      <c r="D47" s="141" t="s">
        <v>676</v>
      </c>
      <c r="E47" s="143" t="s">
        <v>115</v>
      </c>
      <c r="F47" s="143" t="s">
        <v>117</v>
      </c>
      <c r="G47" s="143" t="s">
        <v>441</v>
      </c>
      <c r="H47" s="144" t="s">
        <v>545</v>
      </c>
      <c r="I47" s="137">
        <v>60000</v>
      </c>
      <c r="J47" s="137">
        <v>3000</v>
      </c>
      <c r="K47" s="137">
        <v>3000</v>
      </c>
      <c r="L47" s="137">
        <v>0</v>
      </c>
      <c r="M47" s="137">
        <v>0</v>
      </c>
      <c r="N47" s="137">
        <v>0</v>
      </c>
      <c r="O47" s="137">
        <f t="shared" si="2"/>
        <v>54000</v>
      </c>
    </row>
    <row r="48" spans="1:15" s="138" customFormat="1" ht="99.95" customHeight="1" x14ac:dyDescent="0.2">
      <c r="A48" s="130">
        <v>36</v>
      </c>
      <c r="B48" s="162" t="s">
        <v>677</v>
      </c>
      <c r="C48" s="142" t="s">
        <v>678</v>
      </c>
      <c r="D48" s="141" t="s">
        <v>679</v>
      </c>
      <c r="E48" s="143" t="s">
        <v>115</v>
      </c>
      <c r="F48" s="143" t="s">
        <v>117</v>
      </c>
      <c r="G48" s="143" t="s">
        <v>680</v>
      </c>
      <c r="H48" s="144" t="s">
        <v>545</v>
      </c>
      <c r="I48" s="137">
        <v>386000</v>
      </c>
      <c r="J48" s="137">
        <v>19300</v>
      </c>
      <c r="K48" s="137">
        <v>19300</v>
      </c>
      <c r="L48" s="137">
        <v>0</v>
      </c>
      <c r="M48" s="137">
        <v>0</v>
      </c>
      <c r="N48" s="137">
        <v>0</v>
      </c>
      <c r="O48" s="137">
        <f t="shared" si="2"/>
        <v>347400</v>
      </c>
    </row>
    <row r="49" spans="1:15" ht="20.100000000000001" customHeight="1" x14ac:dyDescent="0.3">
      <c r="A49" s="124" t="s">
        <v>447</v>
      </c>
      <c r="B49" s="160"/>
      <c r="C49" s="126"/>
      <c r="D49" s="126"/>
      <c r="E49" s="127"/>
      <c r="F49" s="128"/>
      <c r="G49" s="128"/>
      <c r="H49" s="128"/>
      <c r="I49" s="129">
        <f>SUM(I50:I72)</f>
        <v>5100123.68</v>
      </c>
      <c r="J49" s="129">
        <f t="shared" ref="J49:O49" si="3">SUM(J50:J72)</f>
        <v>209814.83</v>
      </c>
      <c r="K49" s="129">
        <f t="shared" si="3"/>
        <v>209814.83</v>
      </c>
      <c r="L49" s="129">
        <f t="shared" si="3"/>
        <v>177684.2</v>
      </c>
      <c r="M49" s="129">
        <f t="shared" si="3"/>
        <v>177684.2</v>
      </c>
      <c r="N49" s="129">
        <f t="shared" si="3"/>
        <v>0</v>
      </c>
      <c r="O49" s="129">
        <f t="shared" si="3"/>
        <v>4325125.62</v>
      </c>
    </row>
    <row r="50" spans="1:15" s="138" customFormat="1" ht="115.5" customHeight="1" x14ac:dyDescent="0.2">
      <c r="A50" s="164">
        <v>1</v>
      </c>
      <c r="B50" s="165" t="s">
        <v>532</v>
      </c>
      <c r="C50" s="166" t="s">
        <v>681</v>
      </c>
      <c r="D50" s="167" t="s">
        <v>682</v>
      </c>
      <c r="E50" s="168" t="s">
        <v>170</v>
      </c>
      <c r="F50" s="168" t="s">
        <v>22</v>
      </c>
      <c r="G50" s="168" t="s">
        <v>502</v>
      </c>
      <c r="H50" s="169" t="s">
        <v>683</v>
      </c>
      <c r="I50" s="170">
        <v>30000</v>
      </c>
      <c r="J50" s="170">
        <v>0</v>
      </c>
      <c r="K50" s="170">
        <v>0</v>
      </c>
      <c r="L50" s="170">
        <v>0</v>
      </c>
      <c r="M50" s="170">
        <v>0</v>
      </c>
      <c r="N50" s="145" t="s">
        <v>311</v>
      </c>
      <c r="O50" s="170">
        <f t="shared" ref="O50:O72" si="4">+I50-(SUM(J50:N50))</f>
        <v>30000</v>
      </c>
    </row>
    <row r="51" spans="1:15" s="138" customFormat="1" ht="95.1" customHeight="1" x14ac:dyDescent="0.2">
      <c r="A51" s="139">
        <v>2</v>
      </c>
      <c r="B51" s="162" t="s">
        <v>572</v>
      </c>
      <c r="C51" s="142" t="s">
        <v>684</v>
      </c>
      <c r="D51" s="141" t="s">
        <v>685</v>
      </c>
      <c r="E51" s="143" t="s">
        <v>686</v>
      </c>
      <c r="F51" s="143" t="s">
        <v>512</v>
      </c>
      <c r="G51" s="143" t="s">
        <v>687</v>
      </c>
      <c r="H51" s="144" t="s">
        <v>688</v>
      </c>
      <c r="I51" s="137">
        <v>79800</v>
      </c>
      <c r="J51" s="137">
        <v>39900</v>
      </c>
      <c r="K51" s="137">
        <v>39900</v>
      </c>
      <c r="L51" s="137">
        <v>0</v>
      </c>
      <c r="M51" s="137">
        <v>0</v>
      </c>
      <c r="N51" s="137">
        <v>0</v>
      </c>
      <c r="O51" s="137">
        <f t="shared" si="4"/>
        <v>0</v>
      </c>
    </row>
    <row r="52" spans="1:15" s="138" customFormat="1" ht="95.1" customHeight="1" x14ac:dyDescent="0.2">
      <c r="A52" s="139">
        <v>3</v>
      </c>
      <c r="B52" s="162" t="s">
        <v>572</v>
      </c>
      <c r="C52" s="142" t="s">
        <v>689</v>
      </c>
      <c r="D52" s="141" t="s">
        <v>690</v>
      </c>
      <c r="E52" s="143" t="s">
        <v>451</v>
      </c>
      <c r="F52" s="143" t="s">
        <v>22</v>
      </c>
      <c r="G52" s="143" t="s">
        <v>457</v>
      </c>
      <c r="H52" s="144" t="s">
        <v>691</v>
      </c>
      <c r="I52" s="137">
        <v>396000</v>
      </c>
      <c r="J52" s="137">
        <v>19800</v>
      </c>
      <c r="K52" s="137">
        <v>19800</v>
      </c>
      <c r="L52" s="137">
        <v>0</v>
      </c>
      <c r="M52" s="137">
        <v>0</v>
      </c>
      <c r="N52" s="137">
        <v>0</v>
      </c>
      <c r="O52" s="137">
        <f t="shared" si="4"/>
        <v>356400</v>
      </c>
    </row>
    <row r="53" spans="1:15" s="138" customFormat="1" ht="95.1" customHeight="1" x14ac:dyDescent="0.2">
      <c r="A53" s="139">
        <v>4</v>
      </c>
      <c r="B53" s="162" t="s">
        <v>572</v>
      </c>
      <c r="C53" s="142" t="s">
        <v>692</v>
      </c>
      <c r="D53" s="141" t="s">
        <v>693</v>
      </c>
      <c r="E53" s="143" t="s">
        <v>388</v>
      </c>
      <c r="F53" s="143" t="s">
        <v>22</v>
      </c>
      <c r="G53" s="143" t="s">
        <v>694</v>
      </c>
      <c r="H53" s="144" t="s">
        <v>695</v>
      </c>
      <c r="I53" s="137">
        <v>71155</v>
      </c>
      <c r="J53" s="137"/>
      <c r="K53" s="137"/>
      <c r="L53" s="137">
        <v>20950</v>
      </c>
      <c r="M53" s="137">
        <v>20950</v>
      </c>
      <c r="N53" s="137">
        <v>0</v>
      </c>
      <c r="O53" s="137">
        <f t="shared" si="4"/>
        <v>29255</v>
      </c>
    </row>
    <row r="54" spans="1:15" s="138" customFormat="1" ht="180" customHeight="1" x14ac:dyDescent="0.2">
      <c r="A54" s="139">
        <v>5</v>
      </c>
      <c r="B54" s="162" t="s">
        <v>696</v>
      </c>
      <c r="C54" s="142" t="s">
        <v>697</v>
      </c>
      <c r="D54" s="141" t="s">
        <v>698</v>
      </c>
      <c r="E54" s="143" t="s">
        <v>699</v>
      </c>
      <c r="F54" s="143" t="s">
        <v>22</v>
      </c>
      <c r="G54" s="143" t="s">
        <v>700</v>
      </c>
      <c r="H54" s="144" t="s">
        <v>701</v>
      </c>
      <c r="I54" s="137">
        <v>134700</v>
      </c>
      <c r="J54" s="137">
        <v>0</v>
      </c>
      <c r="K54" s="137">
        <v>0</v>
      </c>
      <c r="L54" s="137">
        <v>6122.7</v>
      </c>
      <c r="M54" s="137">
        <v>6122.7</v>
      </c>
      <c r="N54" s="137"/>
      <c r="O54" s="137">
        <f t="shared" si="4"/>
        <v>122454.6</v>
      </c>
    </row>
    <row r="55" spans="1:15" s="138" customFormat="1" ht="100.5" customHeight="1" x14ac:dyDescent="0.2">
      <c r="A55" s="139">
        <v>6</v>
      </c>
      <c r="B55" s="162" t="s">
        <v>702</v>
      </c>
      <c r="C55" s="142" t="s">
        <v>703</v>
      </c>
      <c r="D55" s="141" t="s">
        <v>704</v>
      </c>
      <c r="E55" s="143" t="s">
        <v>705</v>
      </c>
      <c r="F55" s="143" t="s">
        <v>706</v>
      </c>
      <c r="G55" s="143" t="s">
        <v>707</v>
      </c>
      <c r="H55" s="144" t="s">
        <v>708</v>
      </c>
      <c r="I55" s="137">
        <v>377400</v>
      </c>
      <c r="J55" s="137">
        <v>18870</v>
      </c>
      <c r="K55" s="137">
        <v>18870</v>
      </c>
      <c r="L55" s="137">
        <v>0</v>
      </c>
      <c r="M55" s="137">
        <v>0</v>
      </c>
      <c r="N55" s="137">
        <v>0</v>
      </c>
      <c r="O55" s="137">
        <f t="shared" si="4"/>
        <v>339660</v>
      </c>
    </row>
    <row r="56" spans="1:15" s="138" customFormat="1" ht="129.94999999999999" customHeight="1" x14ac:dyDescent="0.2">
      <c r="A56" s="139">
        <v>7</v>
      </c>
      <c r="B56" s="162" t="s">
        <v>709</v>
      </c>
      <c r="C56" s="142" t="s">
        <v>710</v>
      </c>
      <c r="D56" s="141" t="s">
        <v>711</v>
      </c>
      <c r="E56" s="143" t="s">
        <v>712</v>
      </c>
      <c r="F56" s="143" t="s">
        <v>22</v>
      </c>
      <c r="G56" s="143" t="s">
        <v>713</v>
      </c>
      <c r="H56" s="144" t="s">
        <v>714</v>
      </c>
      <c r="I56" s="137">
        <v>235400</v>
      </c>
      <c r="J56" s="137">
        <v>11770</v>
      </c>
      <c r="K56" s="137">
        <v>11770</v>
      </c>
      <c r="L56" s="137">
        <v>0</v>
      </c>
      <c r="M56" s="137">
        <v>0</v>
      </c>
      <c r="N56" s="137">
        <v>0</v>
      </c>
      <c r="O56" s="137">
        <f t="shared" si="4"/>
        <v>211860</v>
      </c>
    </row>
    <row r="57" spans="1:15" s="138" customFormat="1" ht="183" customHeight="1" x14ac:dyDescent="0.2">
      <c r="A57" s="139">
        <v>8</v>
      </c>
      <c r="B57" s="162" t="s">
        <v>715</v>
      </c>
      <c r="C57" s="142" t="s">
        <v>716</v>
      </c>
      <c r="D57" s="141" t="s">
        <v>717</v>
      </c>
      <c r="E57" s="143" t="s">
        <v>699</v>
      </c>
      <c r="F57" s="143" t="s">
        <v>22</v>
      </c>
      <c r="G57" s="143" t="s">
        <v>718</v>
      </c>
      <c r="H57" s="144" t="s">
        <v>719</v>
      </c>
      <c r="I57" s="137">
        <v>245500</v>
      </c>
      <c r="J57" s="137">
        <v>0</v>
      </c>
      <c r="K57" s="137">
        <v>0</v>
      </c>
      <c r="L57" s="137">
        <v>10204.5</v>
      </c>
      <c r="M57" s="137">
        <v>10204.5</v>
      </c>
      <c r="N57" s="137">
        <v>0</v>
      </c>
      <c r="O57" s="137">
        <f t="shared" si="4"/>
        <v>225091</v>
      </c>
    </row>
    <row r="58" spans="1:15" s="138" customFormat="1" ht="146.1" customHeight="1" x14ac:dyDescent="0.2">
      <c r="A58" s="139">
        <v>9</v>
      </c>
      <c r="B58" s="162" t="s">
        <v>720</v>
      </c>
      <c r="C58" s="142" t="s">
        <v>721</v>
      </c>
      <c r="D58" s="141" t="s">
        <v>722</v>
      </c>
      <c r="E58" s="143" t="s">
        <v>723</v>
      </c>
      <c r="F58" s="143" t="s">
        <v>22</v>
      </c>
      <c r="G58" s="143" t="s">
        <v>724</v>
      </c>
      <c r="H58" s="144" t="s">
        <v>725</v>
      </c>
      <c r="I58" s="137">
        <v>79998</v>
      </c>
      <c r="J58" s="137">
        <v>39999</v>
      </c>
      <c r="K58" s="137">
        <v>39999</v>
      </c>
      <c r="L58" s="137">
        <v>0</v>
      </c>
      <c r="M58" s="137">
        <v>0</v>
      </c>
      <c r="N58" s="137">
        <v>0</v>
      </c>
      <c r="O58" s="137">
        <f t="shared" si="4"/>
        <v>0</v>
      </c>
    </row>
    <row r="59" spans="1:15" s="138" customFormat="1" ht="99.95" customHeight="1" x14ac:dyDescent="0.2">
      <c r="A59" s="139">
        <v>10</v>
      </c>
      <c r="B59" s="162" t="s">
        <v>720</v>
      </c>
      <c r="C59" s="142" t="s">
        <v>726</v>
      </c>
      <c r="D59" s="141" t="s">
        <v>727</v>
      </c>
      <c r="E59" s="143" t="s">
        <v>728</v>
      </c>
      <c r="F59" s="143" t="s">
        <v>22</v>
      </c>
      <c r="G59" s="143" t="s">
        <v>718</v>
      </c>
      <c r="H59" s="144" t="s">
        <v>729</v>
      </c>
      <c r="I59" s="137">
        <v>450000</v>
      </c>
      <c r="J59" s="137">
        <v>0</v>
      </c>
      <c r="K59" s="137">
        <v>0</v>
      </c>
      <c r="L59" s="171" t="s">
        <v>730</v>
      </c>
      <c r="M59" s="171" t="s">
        <v>730</v>
      </c>
      <c r="N59" s="137">
        <v>0</v>
      </c>
      <c r="O59" s="137">
        <f t="shared" si="4"/>
        <v>450000</v>
      </c>
    </row>
    <row r="60" spans="1:15" s="138" customFormat="1" ht="99.95" customHeight="1" x14ac:dyDescent="0.2">
      <c r="A60" s="139">
        <v>11</v>
      </c>
      <c r="B60" s="162" t="s">
        <v>630</v>
      </c>
      <c r="C60" s="142" t="s">
        <v>731</v>
      </c>
      <c r="D60" s="141" t="s">
        <v>732</v>
      </c>
      <c r="E60" s="143" t="s">
        <v>733</v>
      </c>
      <c r="F60" s="143" t="s">
        <v>512</v>
      </c>
      <c r="G60" s="143" t="s">
        <v>734</v>
      </c>
      <c r="H60" s="144" t="s">
        <v>735</v>
      </c>
      <c r="I60" s="137">
        <v>189260</v>
      </c>
      <c r="J60" s="137">
        <v>0</v>
      </c>
      <c r="K60" s="137">
        <v>0</v>
      </c>
      <c r="L60" s="171">
        <v>15000</v>
      </c>
      <c r="M60" s="171">
        <v>15000</v>
      </c>
      <c r="N60" s="137">
        <v>0</v>
      </c>
      <c r="O60" s="137">
        <f t="shared" si="4"/>
        <v>159260</v>
      </c>
    </row>
    <row r="61" spans="1:15" s="138" customFormat="1" ht="120" customHeight="1" x14ac:dyDescent="0.2">
      <c r="A61" s="139">
        <v>12</v>
      </c>
      <c r="B61" s="162" t="s">
        <v>630</v>
      </c>
      <c r="C61" s="142" t="s">
        <v>736</v>
      </c>
      <c r="D61" s="141" t="s">
        <v>737</v>
      </c>
      <c r="E61" s="143" t="s">
        <v>738</v>
      </c>
      <c r="F61" s="143" t="s">
        <v>739</v>
      </c>
      <c r="G61" s="143" t="s">
        <v>734</v>
      </c>
      <c r="H61" s="144" t="s">
        <v>740</v>
      </c>
      <c r="I61" s="137">
        <v>204080</v>
      </c>
      <c r="J61" s="137">
        <v>0</v>
      </c>
      <c r="K61" s="137">
        <v>0</v>
      </c>
      <c r="L61" s="171">
        <v>15000</v>
      </c>
      <c r="M61" s="171">
        <v>15000</v>
      </c>
      <c r="N61" s="137">
        <v>0</v>
      </c>
      <c r="O61" s="137">
        <f t="shared" si="4"/>
        <v>174080</v>
      </c>
    </row>
    <row r="62" spans="1:15" s="138" customFormat="1" ht="99.95" customHeight="1" x14ac:dyDescent="0.2">
      <c r="A62" s="139">
        <v>13</v>
      </c>
      <c r="B62" s="162" t="s">
        <v>638</v>
      </c>
      <c r="C62" s="142" t="s">
        <v>741</v>
      </c>
      <c r="D62" s="141" t="s">
        <v>742</v>
      </c>
      <c r="E62" s="143" t="s">
        <v>388</v>
      </c>
      <c r="F62" s="143" t="s">
        <v>22</v>
      </c>
      <c r="G62" s="143" t="s">
        <v>694</v>
      </c>
      <c r="H62" s="144" t="s">
        <v>743</v>
      </c>
      <c r="I62" s="137">
        <v>28500</v>
      </c>
      <c r="J62" s="137">
        <v>0</v>
      </c>
      <c r="K62" s="137">
        <v>0</v>
      </c>
      <c r="L62" s="171" t="s">
        <v>730</v>
      </c>
      <c r="M62" s="171" t="s">
        <v>730</v>
      </c>
      <c r="N62" s="137">
        <v>0</v>
      </c>
      <c r="O62" s="137">
        <f t="shared" si="4"/>
        <v>28500</v>
      </c>
    </row>
    <row r="63" spans="1:15" s="138" customFormat="1" ht="114.95" customHeight="1" x14ac:dyDescent="0.2">
      <c r="A63" s="139">
        <v>14</v>
      </c>
      <c r="B63" s="162" t="s">
        <v>657</v>
      </c>
      <c r="C63" s="142" t="s">
        <v>744</v>
      </c>
      <c r="D63" s="141" t="s">
        <v>745</v>
      </c>
      <c r="E63" s="143" t="s">
        <v>746</v>
      </c>
      <c r="F63" s="143" t="s">
        <v>22</v>
      </c>
      <c r="G63" s="143" t="s">
        <v>513</v>
      </c>
      <c r="H63" s="144" t="s">
        <v>747</v>
      </c>
      <c r="I63" s="137">
        <v>18000</v>
      </c>
      <c r="J63" s="137">
        <v>0</v>
      </c>
      <c r="K63" s="137">
        <v>0</v>
      </c>
      <c r="L63" s="171" t="s">
        <v>748</v>
      </c>
      <c r="M63" s="171" t="s">
        <v>748</v>
      </c>
      <c r="N63" s="137"/>
      <c r="O63" s="137">
        <f t="shared" si="4"/>
        <v>18000</v>
      </c>
    </row>
    <row r="64" spans="1:15" s="138" customFormat="1" ht="165" customHeight="1" x14ac:dyDescent="0.2">
      <c r="A64" s="139">
        <v>15</v>
      </c>
      <c r="B64" s="162" t="s">
        <v>749</v>
      </c>
      <c r="C64" s="142" t="s">
        <v>750</v>
      </c>
      <c r="D64" s="141" t="s">
        <v>751</v>
      </c>
      <c r="E64" s="143" t="s">
        <v>752</v>
      </c>
      <c r="F64" s="143" t="s">
        <v>706</v>
      </c>
      <c r="G64" s="143" t="s">
        <v>753</v>
      </c>
      <c r="H64" s="144" t="s">
        <v>754</v>
      </c>
      <c r="I64" s="137">
        <v>72814</v>
      </c>
      <c r="J64" s="137"/>
      <c r="K64" s="137"/>
      <c r="L64" s="137">
        <v>36407</v>
      </c>
      <c r="M64" s="137">
        <v>36407</v>
      </c>
      <c r="N64" s="137"/>
      <c r="O64" s="137">
        <f t="shared" si="4"/>
        <v>0</v>
      </c>
    </row>
    <row r="65" spans="1:15" s="138" customFormat="1" ht="99.95" customHeight="1" x14ac:dyDescent="0.2">
      <c r="A65" s="139">
        <v>16</v>
      </c>
      <c r="B65" s="162" t="s">
        <v>755</v>
      </c>
      <c r="C65" s="142" t="s">
        <v>756</v>
      </c>
      <c r="D65" s="141" t="s">
        <v>757</v>
      </c>
      <c r="E65" s="143" t="s">
        <v>728</v>
      </c>
      <c r="F65" s="143" t="s">
        <v>22</v>
      </c>
      <c r="G65" s="143" t="s">
        <v>718</v>
      </c>
      <c r="H65" s="144" t="s">
        <v>758</v>
      </c>
      <c r="I65" s="137">
        <v>750000</v>
      </c>
      <c r="J65" s="137">
        <v>0</v>
      </c>
      <c r="K65" s="137">
        <v>0</v>
      </c>
      <c r="L65" s="171" t="s">
        <v>730</v>
      </c>
      <c r="M65" s="171" t="s">
        <v>730</v>
      </c>
      <c r="N65" s="137"/>
      <c r="O65" s="137">
        <f t="shared" si="4"/>
        <v>750000</v>
      </c>
    </row>
    <row r="66" spans="1:15" s="138" customFormat="1" ht="116.1" customHeight="1" x14ac:dyDescent="0.2">
      <c r="A66" s="139">
        <v>17</v>
      </c>
      <c r="B66" s="162" t="s">
        <v>759</v>
      </c>
      <c r="C66" s="142" t="s">
        <v>760</v>
      </c>
      <c r="D66" s="141" t="s">
        <v>761</v>
      </c>
      <c r="E66" s="143" t="s">
        <v>451</v>
      </c>
      <c r="F66" s="143" t="s">
        <v>22</v>
      </c>
      <c r="G66" s="143" t="s">
        <v>452</v>
      </c>
      <c r="H66" s="144" t="s">
        <v>762</v>
      </c>
      <c r="I66" s="137">
        <v>350570.04</v>
      </c>
      <c r="J66" s="137">
        <v>17528.5</v>
      </c>
      <c r="K66" s="137">
        <v>17528.5</v>
      </c>
      <c r="L66" s="171">
        <v>0</v>
      </c>
      <c r="M66" s="171">
        <v>0</v>
      </c>
      <c r="N66" s="137">
        <v>0</v>
      </c>
      <c r="O66" s="137">
        <f t="shared" si="4"/>
        <v>315513.03999999998</v>
      </c>
    </row>
    <row r="67" spans="1:15" s="138" customFormat="1" ht="83.1" customHeight="1" x14ac:dyDescent="0.2">
      <c r="A67" s="139">
        <v>18</v>
      </c>
      <c r="B67" s="162" t="s">
        <v>759</v>
      </c>
      <c r="C67" s="142" t="s">
        <v>763</v>
      </c>
      <c r="D67" s="141" t="s">
        <v>764</v>
      </c>
      <c r="E67" s="143" t="s">
        <v>451</v>
      </c>
      <c r="F67" s="143" t="s">
        <v>22</v>
      </c>
      <c r="G67" s="143" t="s">
        <v>452</v>
      </c>
      <c r="H67" s="144" t="s">
        <v>765</v>
      </c>
      <c r="I67" s="137">
        <v>203546.64</v>
      </c>
      <c r="J67" s="137">
        <v>10177.33</v>
      </c>
      <c r="K67" s="137">
        <v>10177.33</v>
      </c>
      <c r="L67" s="171">
        <v>0</v>
      </c>
      <c r="M67" s="171">
        <v>0</v>
      </c>
      <c r="N67" s="137">
        <v>0</v>
      </c>
      <c r="O67" s="137">
        <f t="shared" si="4"/>
        <v>183191.98</v>
      </c>
    </row>
    <row r="68" spans="1:15" s="138" customFormat="1" ht="135" customHeight="1" x14ac:dyDescent="0.2">
      <c r="A68" s="139">
        <v>19</v>
      </c>
      <c r="B68" s="162" t="s">
        <v>766</v>
      </c>
      <c r="C68" s="142" t="s">
        <v>767</v>
      </c>
      <c r="D68" s="141" t="s">
        <v>768</v>
      </c>
      <c r="E68" s="143" t="s">
        <v>769</v>
      </c>
      <c r="F68" s="143" t="s">
        <v>22</v>
      </c>
      <c r="G68" s="143" t="s">
        <v>770</v>
      </c>
      <c r="H68" s="144" t="s">
        <v>771</v>
      </c>
      <c r="I68" s="137">
        <v>74000</v>
      </c>
      <c r="J68" s="137">
        <v>0</v>
      </c>
      <c r="K68" s="137">
        <v>0</v>
      </c>
      <c r="L68" s="171">
        <v>74000</v>
      </c>
      <c r="M68" s="171">
        <v>0</v>
      </c>
      <c r="N68" s="137">
        <v>0</v>
      </c>
      <c r="O68" s="137">
        <f t="shared" si="4"/>
        <v>0</v>
      </c>
    </row>
    <row r="69" spans="1:15" s="138" customFormat="1" ht="135" customHeight="1" x14ac:dyDescent="0.2">
      <c r="A69" s="139">
        <v>20</v>
      </c>
      <c r="B69" s="162" t="s">
        <v>766</v>
      </c>
      <c r="C69" s="142" t="s">
        <v>772</v>
      </c>
      <c r="D69" s="141" t="s">
        <v>768</v>
      </c>
      <c r="E69" s="143" t="s">
        <v>769</v>
      </c>
      <c r="F69" s="143" t="s">
        <v>22</v>
      </c>
      <c r="G69" s="143" t="s">
        <v>773</v>
      </c>
      <c r="H69" s="144" t="s">
        <v>771</v>
      </c>
      <c r="I69" s="137">
        <v>74000</v>
      </c>
      <c r="J69" s="137">
        <v>0</v>
      </c>
      <c r="K69" s="137">
        <v>0</v>
      </c>
      <c r="L69" s="171">
        <v>0</v>
      </c>
      <c r="M69" s="171">
        <v>74000</v>
      </c>
      <c r="N69" s="137">
        <v>0</v>
      </c>
      <c r="O69" s="137">
        <f t="shared" si="4"/>
        <v>0</v>
      </c>
    </row>
    <row r="70" spans="1:15" s="138" customFormat="1" ht="99.95" customHeight="1" x14ac:dyDescent="0.2">
      <c r="A70" s="139">
        <v>21</v>
      </c>
      <c r="B70" s="162" t="s">
        <v>766</v>
      </c>
      <c r="C70" s="142" t="s">
        <v>774</v>
      </c>
      <c r="D70" s="141" t="s">
        <v>775</v>
      </c>
      <c r="E70" s="143" t="s">
        <v>705</v>
      </c>
      <c r="F70" s="143" t="s">
        <v>706</v>
      </c>
      <c r="G70" s="143" t="s">
        <v>707</v>
      </c>
      <c r="H70" s="144" t="s">
        <v>776</v>
      </c>
      <c r="I70" s="137">
        <v>503200</v>
      </c>
      <c r="J70" s="137">
        <v>25160</v>
      </c>
      <c r="K70" s="137">
        <v>25160</v>
      </c>
      <c r="L70" s="171">
        <v>0</v>
      </c>
      <c r="M70" s="171">
        <v>0</v>
      </c>
      <c r="N70" s="137">
        <v>0</v>
      </c>
      <c r="O70" s="137">
        <f t="shared" si="4"/>
        <v>452880</v>
      </c>
    </row>
    <row r="71" spans="1:15" s="138" customFormat="1" ht="99.95" customHeight="1" x14ac:dyDescent="0.2">
      <c r="A71" s="139">
        <v>22</v>
      </c>
      <c r="B71" s="162" t="s">
        <v>777</v>
      </c>
      <c r="C71" s="142" t="s">
        <v>778</v>
      </c>
      <c r="D71" s="141" t="s">
        <v>779</v>
      </c>
      <c r="E71" s="143" t="s">
        <v>705</v>
      </c>
      <c r="F71" s="143" t="s">
        <v>706</v>
      </c>
      <c r="G71" s="143" t="s">
        <v>707</v>
      </c>
      <c r="H71" s="144" t="s">
        <v>780</v>
      </c>
      <c r="I71" s="137">
        <v>377400</v>
      </c>
      <c r="J71" s="137">
        <v>18870</v>
      </c>
      <c r="K71" s="137">
        <v>18870</v>
      </c>
      <c r="L71" s="171">
        <v>0</v>
      </c>
      <c r="M71" s="171">
        <v>0</v>
      </c>
      <c r="N71" s="137">
        <v>0</v>
      </c>
      <c r="O71" s="137">
        <f t="shared" si="4"/>
        <v>339660</v>
      </c>
    </row>
    <row r="72" spans="1:15" s="138" customFormat="1" ht="129.94999999999999" customHeight="1" x14ac:dyDescent="0.2">
      <c r="A72" s="139">
        <v>23</v>
      </c>
      <c r="B72" s="162" t="s">
        <v>537</v>
      </c>
      <c r="C72" s="142" t="s">
        <v>781</v>
      </c>
      <c r="D72" s="141" t="s">
        <v>782</v>
      </c>
      <c r="E72" s="143" t="s">
        <v>712</v>
      </c>
      <c r="F72" s="143" t="s">
        <v>22</v>
      </c>
      <c r="G72" s="143" t="s">
        <v>713</v>
      </c>
      <c r="H72" s="144" t="s">
        <v>783</v>
      </c>
      <c r="I72" s="137">
        <v>154800</v>
      </c>
      <c r="J72" s="137">
        <v>7740</v>
      </c>
      <c r="K72" s="137">
        <v>7740</v>
      </c>
      <c r="L72" s="171">
        <v>0</v>
      </c>
      <c r="M72" s="171">
        <v>0</v>
      </c>
      <c r="N72" s="137">
        <v>0</v>
      </c>
      <c r="O72" s="137">
        <f t="shared" si="4"/>
        <v>139320</v>
      </c>
    </row>
    <row r="73" spans="1:15" ht="20.100000000000001" customHeight="1" x14ac:dyDescent="0.3">
      <c r="A73" s="124" t="s">
        <v>515</v>
      </c>
      <c r="B73" s="160"/>
      <c r="C73" s="126"/>
      <c r="D73" s="126"/>
      <c r="E73" s="127"/>
      <c r="F73" s="128"/>
      <c r="G73" s="128"/>
      <c r="H73" s="128"/>
      <c r="I73" s="129">
        <f>SUM(I74)</f>
        <v>0</v>
      </c>
      <c r="J73" s="129">
        <f t="shared" ref="J73:O73" si="5">SUM(J74)</f>
        <v>0</v>
      </c>
      <c r="K73" s="129">
        <f t="shared" si="5"/>
        <v>0</v>
      </c>
      <c r="L73" s="129">
        <f t="shared" si="5"/>
        <v>0</v>
      </c>
      <c r="M73" s="129">
        <f t="shared" si="5"/>
        <v>0</v>
      </c>
      <c r="N73" s="129">
        <f t="shared" si="5"/>
        <v>0</v>
      </c>
      <c r="O73" s="129">
        <f t="shared" si="5"/>
        <v>0</v>
      </c>
    </row>
    <row r="74" spans="1:15" s="151" customFormat="1" ht="20.100000000000001" customHeight="1" x14ac:dyDescent="0.2">
      <c r="A74" s="146"/>
      <c r="B74" s="172"/>
      <c r="C74" s="146"/>
      <c r="D74" s="146"/>
      <c r="E74" s="148"/>
      <c r="F74" s="149"/>
      <c r="G74" s="149"/>
      <c r="H74" s="149"/>
      <c r="I74" s="150"/>
      <c r="J74" s="150"/>
      <c r="K74" s="150"/>
      <c r="L74" s="150"/>
      <c r="M74" s="150"/>
      <c r="N74" s="150"/>
      <c r="O74" s="150"/>
    </row>
    <row r="75" spans="1:15" s="153" customFormat="1" ht="20.100000000000001" customHeight="1" x14ac:dyDescent="0.2">
      <c r="A75" s="751" t="s">
        <v>784</v>
      </c>
      <c r="B75" s="752"/>
      <c r="C75" s="752"/>
      <c r="D75" s="752"/>
      <c r="E75" s="752"/>
      <c r="F75" s="752"/>
      <c r="G75" s="752"/>
      <c r="H75" s="753"/>
      <c r="I75" s="152">
        <f t="shared" ref="I75:O75" si="6">+I12+I49+I73+I8</f>
        <v>11716241.68</v>
      </c>
      <c r="J75" s="152">
        <f t="shared" si="6"/>
        <v>556322.73</v>
      </c>
      <c r="K75" s="152">
        <f t="shared" si="6"/>
        <v>556322.73</v>
      </c>
      <c r="L75" s="152">
        <f t="shared" si="6"/>
        <v>215824.2</v>
      </c>
      <c r="M75" s="152">
        <f t="shared" si="6"/>
        <v>229254.2</v>
      </c>
      <c r="N75" s="152">
        <f t="shared" si="6"/>
        <v>0</v>
      </c>
      <c r="O75" s="152">
        <f t="shared" si="6"/>
        <v>10158517.82</v>
      </c>
    </row>
    <row r="253" spans="1:16" ht="18.75" x14ac:dyDescent="0.3">
      <c r="A253" s="747" t="s">
        <v>517</v>
      </c>
      <c r="B253" s="747"/>
      <c r="C253" s="747"/>
      <c r="D253" s="747"/>
      <c r="E253" s="747" t="s">
        <v>518</v>
      </c>
      <c r="F253" s="747"/>
      <c r="G253" s="747"/>
      <c r="H253" s="747" t="s">
        <v>518</v>
      </c>
      <c r="I253" s="747"/>
      <c r="J253" s="747"/>
      <c r="K253" s="747"/>
      <c r="L253" s="748" t="s">
        <v>519</v>
      </c>
      <c r="M253" s="748"/>
      <c r="N253" s="748"/>
      <c r="O253" s="748"/>
      <c r="P253" s="154"/>
    </row>
    <row r="254" spans="1:16" ht="18.75" x14ac:dyDescent="0.3">
      <c r="A254" s="747" t="s">
        <v>785</v>
      </c>
      <c r="B254" s="747"/>
      <c r="C254" s="747"/>
      <c r="D254" s="747"/>
      <c r="E254" s="747" t="s">
        <v>786</v>
      </c>
      <c r="F254" s="747"/>
      <c r="G254" s="747"/>
      <c r="H254" s="747" t="s">
        <v>520</v>
      </c>
      <c r="I254" s="747"/>
      <c r="J254" s="747"/>
      <c r="K254" s="747"/>
      <c r="L254" s="748" t="s">
        <v>521</v>
      </c>
      <c r="M254" s="748"/>
      <c r="N254" s="748"/>
      <c r="O254" s="748"/>
      <c r="P254" s="154"/>
    </row>
    <row r="255" spans="1:16" ht="18.75" x14ac:dyDescent="0.3">
      <c r="A255" s="747" t="s">
        <v>787</v>
      </c>
      <c r="B255" s="747"/>
      <c r="C255" s="747"/>
      <c r="D255" s="747"/>
      <c r="E255" s="747" t="s">
        <v>522</v>
      </c>
      <c r="F255" s="747"/>
      <c r="G255" s="747"/>
      <c r="H255" s="747" t="s">
        <v>523</v>
      </c>
      <c r="I255" s="747"/>
      <c r="J255" s="747"/>
      <c r="K255" s="747"/>
      <c r="L255" s="748" t="s">
        <v>524</v>
      </c>
      <c r="M255" s="748"/>
      <c r="N255" s="748"/>
      <c r="O255" s="748"/>
      <c r="P255" s="154"/>
    </row>
  </sheetData>
  <mergeCells count="30">
    <mergeCell ref="A1:O1"/>
    <mergeCell ref="A2:O2"/>
    <mergeCell ref="A3:O3"/>
    <mergeCell ref="A5:A7"/>
    <mergeCell ref="B5:I5"/>
    <mergeCell ref="J5:M5"/>
    <mergeCell ref="O5:O7"/>
    <mergeCell ref="B6:B7"/>
    <mergeCell ref="C6:C7"/>
    <mergeCell ref="D6:D7"/>
    <mergeCell ref="L6:N6"/>
    <mergeCell ref="E6:E7"/>
    <mergeCell ref="F6:F7"/>
    <mergeCell ref="G6:G7"/>
    <mergeCell ref="H6:H7"/>
    <mergeCell ref="I6:I7"/>
    <mergeCell ref="A255:D255"/>
    <mergeCell ref="E255:G255"/>
    <mergeCell ref="H255:K255"/>
    <mergeCell ref="L255:O255"/>
    <mergeCell ref="J6:K6"/>
    <mergeCell ref="A254:D254"/>
    <mergeCell ref="E254:G254"/>
    <mergeCell ref="H254:K254"/>
    <mergeCell ref="L254:O254"/>
    <mergeCell ref="A75:H75"/>
    <mergeCell ref="A253:D253"/>
    <mergeCell ref="E253:G253"/>
    <mergeCell ref="H253:K253"/>
    <mergeCell ref="L253:O25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8"/>
  <sheetViews>
    <sheetView topLeftCell="A67" workbookViewId="0">
      <selection activeCell="A3" sqref="A3:I3"/>
    </sheetView>
  </sheetViews>
  <sheetFormatPr defaultRowHeight="17.25" x14ac:dyDescent="0.3"/>
  <cols>
    <col min="1" max="1" width="4.625" style="155" customWidth="1"/>
    <col min="2" max="2" width="9.125" style="156"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54" t="s">
        <v>250</v>
      </c>
      <c r="B1" s="754"/>
      <c r="C1" s="754"/>
      <c r="D1" s="754"/>
      <c r="E1" s="754"/>
      <c r="F1" s="754"/>
      <c r="G1" s="754"/>
      <c r="H1" s="754"/>
      <c r="I1" s="754"/>
      <c r="J1" s="754"/>
      <c r="K1" s="754"/>
      <c r="L1" s="754"/>
      <c r="M1" s="754"/>
      <c r="N1" s="754"/>
      <c r="O1" s="754"/>
    </row>
    <row r="2" spans="1:16" ht="18.75" x14ac:dyDescent="0.3">
      <c r="A2" s="754" t="s">
        <v>251</v>
      </c>
      <c r="B2" s="754"/>
      <c r="C2" s="754"/>
      <c r="D2" s="754"/>
      <c r="E2" s="754"/>
      <c r="F2" s="754"/>
      <c r="G2" s="754"/>
      <c r="H2" s="754"/>
      <c r="I2" s="754"/>
      <c r="J2" s="754"/>
      <c r="K2" s="754"/>
      <c r="L2" s="754"/>
      <c r="M2" s="754"/>
      <c r="N2" s="754"/>
      <c r="O2" s="754"/>
    </row>
    <row r="3" spans="1:16" ht="18.75" x14ac:dyDescent="0.3">
      <c r="A3" s="754" t="s">
        <v>252</v>
      </c>
      <c r="B3" s="754"/>
      <c r="C3" s="754"/>
      <c r="D3" s="754"/>
      <c r="E3" s="754"/>
      <c r="F3" s="754"/>
      <c r="G3" s="754"/>
      <c r="H3" s="754"/>
      <c r="I3" s="754"/>
      <c r="J3" s="754"/>
      <c r="K3" s="754"/>
      <c r="L3" s="754"/>
      <c r="M3" s="754"/>
      <c r="N3" s="754"/>
      <c r="O3" s="754"/>
    </row>
    <row r="4" spans="1:16" s="117" customFormat="1" ht="8.1" customHeight="1" x14ac:dyDescent="0.3">
      <c r="A4" s="114"/>
      <c r="B4" s="115"/>
      <c r="C4" s="114"/>
      <c r="D4" s="114"/>
      <c r="E4" s="116"/>
      <c r="I4" s="118"/>
    </row>
    <row r="5" spans="1:16" s="121" customFormat="1" ht="38.1" customHeight="1" x14ac:dyDescent="0.3">
      <c r="A5" s="755" t="s">
        <v>253</v>
      </c>
      <c r="B5" s="758" t="s">
        <v>254</v>
      </c>
      <c r="C5" s="759"/>
      <c r="D5" s="759"/>
      <c r="E5" s="759"/>
      <c r="F5" s="759"/>
      <c r="G5" s="759"/>
      <c r="H5" s="759"/>
      <c r="I5" s="760"/>
      <c r="J5" s="761" t="s">
        <v>255</v>
      </c>
      <c r="K5" s="762"/>
      <c r="L5" s="763"/>
      <c r="M5" s="763"/>
      <c r="N5" s="119"/>
      <c r="O5" s="755" t="s">
        <v>256</v>
      </c>
      <c r="P5" s="120"/>
    </row>
    <row r="6" spans="1:16" s="122" customFormat="1" ht="57.95" customHeight="1" x14ac:dyDescent="0.2">
      <c r="A6" s="756"/>
      <c r="B6" s="768" t="s">
        <v>257</v>
      </c>
      <c r="C6" s="765" t="s">
        <v>2</v>
      </c>
      <c r="D6" s="765" t="s">
        <v>258</v>
      </c>
      <c r="E6" s="769" t="s">
        <v>259</v>
      </c>
      <c r="F6" s="765" t="s">
        <v>260</v>
      </c>
      <c r="G6" s="765" t="s">
        <v>261</v>
      </c>
      <c r="H6" s="765" t="s">
        <v>262</v>
      </c>
      <c r="I6" s="767" t="s">
        <v>263</v>
      </c>
      <c r="J6" s="749" t="s">
        <v>264</v>
      </c>
      <c r="K6" s="750"/>
      <c r="L6" s="749" t="s">
        <v>265</v>
      </c>
      <c r="M6" s="750"/>
      <c r="N6" s="766"/>
      <c r="O6" s="756"/>
    </row>
    <row r="7" spans="1:16" s="121" customFormat="1" ht="60" customHeight="1" x14ac:dyDescent="0.3">
      <c r="A7" s="757"/>
      <c r="B7" s="768"/>
      <c r="C7" s="765"/>
      <c r="D7" s="765"/>
      <c r="E7" s="770"/>
      <c r="F7" s="765"/>
      <c r="G7" s="765"/>
      <c r="H7" s="765"/>
      <c r="I7" s="767"/>
      <c r="J7" s="123" t="s">
        <v>266</v>
      </c>
      <c r="K7" s="123" t="s">
        <v>267</v>
      </c>
      <c r="L7" s="123" t="s">
        <v>266</v>
      </c>
      <c r="M7" s="123" t="s">
        <v>267</v>
      </c>
      <c r="N7" s="123" t="s">
        <v>268</v>
      </c>
      <c r="O7" s="757"/>
      <c r="P7" s="120"/>
    </row>
    <row r="8" spans="1:16" ht="20.100000000000001" customHeight="1" x14ac:dyDescent="0.3">
      <c r="A8" s="124" t="s">
        <v>269</v>
      </c>
      <c r="B8" s="125"/>
      <c r="C8" s="126"/>
      <c r="D8" s="126"/>
      <c r="E8" s="127"/>
      <c r="F8" s="128"/>
      <c r="G8" s="128"/>
      <c r="H8" s="128"/>
      <c r="I8" s="129">
        <f>SUM(I9:I50)</f>
        <v>10746818</v>
      </c>
      <c r="J8" s="129">
        <f t="shared" ref="J8:O8" si="0">SUM(J9:J50)</f>
        <v>522773.62</v>
      </c>
      <c r="K8" s="129">
        <f t="shared" si="0"/>
        <v>522773.62</v>
      </c>
      <c r="L8" s="129">
        <f t="shared" si="0"/>
        <v>7500</v>
      </c>
      <c r="M8" s="129">
        <f t="shared" si="0"/>
        <v>7500</v>
      </c>
      <c r="N8" s="129">
        <f t="shared" si="0"/>
        <v>0</v>
      </c>
      <c r="O8" s="129">
        <f t="shared" si="0"/>
        <v>9686270.7599999998</v>
      </c>
    </row>
    <row r="9" spans="1:16" s="138" customFormat="1" ht="90" customHeight="1" x14ac:dyDescent="0.2">
      <c r="A9" s="130">
        <v>1</v>
      </c>
      <c r="B9" s="131" t="s">
        <v>270</v>
      </c>
      <c r="C9" s="132" t="s">
        <v>271</v>
      </c>
      <c r="D9" s="133" t="s">
        <v>272</v>
      </c>
      <c r="E9" s="134" t="s">
        <v>115</v>
      </c>
      <c r="F9" s="134" t="s">
        <v>117</v>
      </c>
      <c r="G9" s="134" t="s">
        <v>273</v>
      </c>
      <c r="H9" s="135" t="s">
        <v>274</v>
      </c>
      <c r="I9" s="136">
        <v>428000</v>
      </c>
      <c r="J9" s="137">
        <v>21400</v>
      </c>
      <c r="K9" s="137">
        <v>21400</v>
      </c>
      <c r="L9" s="137">
        <v>0</v>
      </c>
      <c r="M9" s="137">
        <v>0</v>
      </c>
      <c r="N9" s="137">
        <v>0</v>
      </c>
      <c r="O9" s="137">
        <f>+I9-J9-K9-L9-M9</f>
        <v>385200</v>
      </c>
    </row>
    <row r="10" spans="1:16" s="138" customFormat="1" ht="90" customHeight="1" x14ac:dyDescent="0.2">
      <c r="A10" s="139">
        <v>2</v>
      </c>
      <c r="B10" s="140" t="s">
        <v>275</v>
      </c>
      <c r="C10" s="132" t="s">
        <v>276</v>
      </c>
      <c r="D10" s="141" t="s">
        <v>277</v>
      </c>
      <c r="E10" s="134" t="s">
        <v>115</v>
      </c>
      <c r="F10" s="134" t="s">
        <v>117</v>
      </c>
      <c r="G10" s="134" t="s">
        <v>278</v>
      </c>
      <c r="H10" s="135" t="s">
        <v>274</v>
      </c>
      <c r="I10" s="137">
        <v>257900</v>
      </c>
      <c r="J10" s="137">
        <v>12895</v>
      </c>
      <c r="K10" s="137">
        <v>12895</v>
      </c>
      <c r="L10" s="137">
        <v>0</v>
      </c>
      <c r="M10" s="137">
        <v>0</v>
      </c>
      <c r="N10" s="137">
        <v>0</v>
      </c>
      <c r="O10" s="137">
        <f t="shared" ref="O10:O54" si="1">+I10-J10-K10-L10-M10</f>
        <v>232110</v>
      </c>
    </row>
    <row r="11" spans="1:16" s="138" customFormat="1" ht="285" customHeight="1" x14ac:dyDescent="0.2">
      <c r="A11" s="139">
        <v>3</v>
      </c>
      <c r="B11" s="140" t="s">
        <v>279</v>
      </c>
      <c r="C11" s="142" t="s">
        <v>280</v>
      </c>
      <c r="D11" s="141" t="s">
        <v>281</v>
      </c>
      <c r="E11" s="143" t="s">
        <v>282</v>
      </c>
      <c r="F11" s="143" t="s">
        <v>283</v>
      </c>
      <c r="G11" s="143" t="s">
        <v>284</v>
      </c>
      <c r="H11" s="144" t="s">
        <v>285</v>
      </c>
      <c r="I11" s="137">
        <v>15000</v>
      </c>
      <c r="J11" s="137">
        <v>0</v>
      </c>
      <c r="K11" s="137">
        <v>0</v>
      </c>
      <c r="L11" s="137">
        <v>7500</v>
      </c>
      <c r="M11" s="137">
        <v>7500</v>
      </c>
      <c r="N11" s="137">
        <v>0</v>
      </c>
      <c r="O11" s="137">
        <f t="shared" si="1"/>
        <v>0</v>
      </c>
    </row>
    <row r="12" spans="1:16" s="138" customFormat="1" ht="90" customHeight="1" x14ac:dyDescent="0.2">
      <c r="A12" s="139">
        <v>4</v>
      </c>
      <c r="B12" s="140" t="s">
        <v>286</v>
      </c>
      <c r="C12" s="142" t="s">
        <v>287</v>
      </c>
      <c r="D12" s="141" t="s">
        <v>288</v>
      </c>
      <c r="E12" s="143" t="s">
        <v>115</v>
      </c>
      <c r="F12" s="143" t="s">
        <v>117</v>
      </c>
      <c r="G12" s="134" t="s">
        <v>289</v>
      </c>
      <c r="H12" s="135" t="s">
        <v>274</v>
      </c>
      <c r="I12" s="137">
        <v>373000</v>
      </c>
      <c r="J12" s="137">
        <v>18650</v>
      </c>
      <c r="K12" s="137">
        <v>18650</v>
      </c>
      <c r="L12" s="137">
        <v>0</v>
      </c>
      <c r="M12" s="137">
        <v>0</v>
      </c>
      <c r="N12" s="137">
        <v>0</v>
      </c>
      <c r="O12" s="137">
        <f t="shared" si="1"/>
        <v>335700</v>
      </c>
    </row>
    <row r="13" spans="1:16" s="138" customFormat="1" ht="90" customHeight="1" x14ac:dyDescent="0.2">
      <c r="A13" s="139">
        <v>5</v>
      </c>
      <c r="B13" s="140" t="s">
        <v>290</v>
      </c>
      <c r="C13" s="142" t="s">
        <v>291</v>
      </c>
      <c r="D13" s="141" t="s">
        <v>292</v>
      </c>
      <c r="E13" s="143" t="s">
        <v>115</v>
      </c>
      <c r="F13" s="143" t="s">
        <v>117</v>
      </c>
      <c r="G13" s="134" t="s">
        <v>289</v>
      </c>
      <c r="H13" s="135" t="s">
        <v>274</v>
      </c>
      <c r="I13" s="137">
        <v>95000</v>
      </c>
      <c r="J13" s="137">
        <v>4750</v>
      </c>
      <c r="K13" s="137">
        <v>4750</v>
      </c>
      <c r="L13" s="137">
        <v>0</v>
      </c>
      <c r="M13" s="137">
        <v>0</v>
      </c>
      <c r="N13" s="137">
        <v>0</v>
      </c>
      <c r="O13" s="137">
        <f t="shared" si="1"/>
        <v>85500</v>
      </c>
    </row>
    <row r="14" spans="1:16" s="138" customFormat="1" ht="90" customHeight="1" x14ac:dyDescent="0.2">
      <c r="A14" s="139">
        <v>6</v>
      </c>
      <c r="B14" s="140">
        <v>241390</v>
      </c>
      <c r="C14" s="142" t="s">
        <v>293</v>
      </c>
      <c r="D14" s="141" t="s">
        <v>294</v>
      </c>
      <c r="E14" s="143" t="s">
        <v>115</v>
      </c>
      <c r="F14" s="143" t="s">
        <v>117</v>
      </c>
      <c r="G14" s="134" t="s">
        <v>295</v>
      </c>
      <c r="H14" s="135" t="s">
        <v>274</v>
      </c>
      <c r="I14" s="137">
        <v>370000</v>
      </c>
      <c r="J14" s="137">
        <v>18500</v>
      </c>
      <c r="K14" s="137">
        <v>18500</v>
      </c>
      <c r="L14" s="137">
        <v>0</v>
      </c>
      <c r="M14" s="137">
        <v>0</v>
      </c>
      <c r="N14" s="137">
        <v>0</v>
      </c>
      <c r="O14" s="137">
        <f t="shared" si="1"/>
        <v>333000</v>
      </c>
    </row>
    <row r="15" spans="1:16" s="138" customFormat="1" ht="90" customHeight="1" x14ac:dyDescent="0.2">
      <c r="A15" s="139">
        <v>7</v>
      </c>
      <c r="B15" s="140" t="s">
        <v>296</v>
      </c>
      <c r="C15" s="142" t="s">
        <v>297</v>
      </c>
      <c r="D15" s="141" t="s">
        <v>298</v>
      </c>
      <c r="E15" s="143" t="s">
        <v>115</v>
      </c>
      <c r="F15" s="143" t="s">
        <v>117</v>
      </c>
      <c r="G15" s="134" t="s">
        <v>299</v>
      </c>
      <c r="H15" s="135" t="s">
        <v>274</v>
      </c>
      <c r="I15" s="137">
        <v>575000</v>
      </c>
      <c r="J15" s="137">
        <v>28750</v>
      </c>
      <c r="K15" s="137">
        <v>28750</v>
      </c>
      <c r="L15" s="137">
        <v>0</v>
      </c>
      <c r="M15" s="137">
        <v>0</v>
      </c>
      <c r="N15" s="137">
        <v>0</v>
      </c>
      <c r="O15" s="137">
        <f t="shared" si="1"/>
        <v>517500</v>
      </c>
    </row>
    <row r="16" spans="1:16" s="138" customFormat="1" ht="110.1" customHeight="1" x14ac:dyDescent="0.2">
      <c r="A16" s="139">
        <v>8</v>
      </c>
      <c r="B16" s="140" t="s">
        <v>296</v>
      </c>
      <c r="C16" s="142" t="s">
        <v>300</v>
      </c>
      <c r="D16" s="141" t="s">
        <v>301</v>
      </c>
      <c r="E16" s="143" t="s">
        <v>302</v>
      </c>
      <c r="F16" s="143" t="s">
        <v>117</v>
      </c>
      <c r="G16" s="134" t="s">
        <v>303</v>
      </c>
      <c r="H16" s="144" t="s">
        <v>304</v>
      </c>
      <c r="I16" s="137">
        <v>24000</v>
      </c>
      <c r="J16" s="137">
        <v>1200</v>
      </c>
      <c r="K16" s="137">
        <v>1200</v>
      </c>
      <c r="L16" s="137">
        <v>0</v>
      </c>
      <c r="M16" s="137">
        <v>0</v>
      </c>
      <c r="N16" s="137">
        <v>0</v>
      </c>
      <c r="O16" s="137">
        <f t="shared" si="1"/>
        <v>21600</v>
      </c>
    </row>
    <row r="17" spans="1:15" s="138" customFormat="1" ht="165" customHeight="1" x14ac:dyDescent="0.2">
      <c r="A17" s="139">
        <v>9</v>
      </c>
      <c r="B17" s="140" t="s">
        <v>296</v>
      </c>
      <c r="C17" s="142" t="s">
        <v>305</v>
      </c>
      <c r="D17" s="142" t="s">
        <v>306</v>
      </c>
      <c r="E17" s="143" t="s">
        <v>307</v>
      </c>
      <c r="F17" s="143" t="s">
        <v>308</v>
      </c>
      <c r="G17" s="143" t="s">
        <v>309</v>
      </c>
      <c r="H17" s="144" t="s">
        <v>310</v>
      </c>
      <c r="I17" s="137">
        <v>350000</v>
      </c>
      <c r="J17" s="137">
        <v>0</v>
      </c>
      <c r="K17" s="137">
        <v>0</v>
      </c>
      <c r="L17" s="137">
        <v>0</v>
      </c>
      <c r="M17" s="137">
        <v>0</v>
      </c>
      <c r="N17" s="145" t="s">
        <v>311</v>
      </c>
      <c r="O17" s="137">
        <f t="shared" si="1"/>
        <v>350000</v>
      </c>
    </row>
    <row r="18" spans="1:15" s="138" customFormat="1" ht="90" customHeight="1" x14ac:dyDescent="0.2">
      <c r="A18" s="139">
        <v>10</v>
      </c>
      <c r="B18" s="140" t="s">
        <v>312</v>
      </c>
      <c r="C18" s="142" t="s">
        <v>313</v>
      </c>
      <c r="D18" s="141" t="s">
        <v>314</v>
      </c>
      <c r="E18" s="143" t="s">
        <v>115</v>
      </c>
      <c r="F18" s="143" t="s">
        <v>117</v>
      </c>
      <c r="G18" s="134" t="s">
        <v>315</v>
      </c>
      <c r="H18" s="135" t="s">
        <v>274</v>
      </c>
      <c r="I18" s="137">
        <v>218000</v>
      </c>
      <c r="J18" s="137">
        <v>10900</v>
      </c>
      <c r="K18" s="137">
        <v>10900</v>
      </c>
      <c r="L18" s="137">
        <v>0</v>
      </c>
      <c r="M18" s="137">
        <v>0</v>
      </c>
      <c r="N18" s="137">
        <v>0</v>
      </c>
      <c r="O18" s="137">
        <f t="shared" si="1"/>
        <v>196200</v>
      </c>
    </row>
    <row r="19" spans="1:15" s="138" customFormat="1" ht="90" customHeight="1" x14ac:dyDescent="0.2">
      <c r="A19" s="139">
        <v>11</v>
      </c>
      <c r="B19" s="140" t="s">
        <v>312</v>
      </c>
      <c r="C19" s="132" t="s">
        <v>316</v>
      </c>
      <c r="D19" s="141" t="s">
        <v>317</v>
      </c>
      <c r="E19" s="134" t="s">
        <v>115</v>
      </c>
      <c r="F19" s="134" t="s">
        <v>117</v>
      </c>
      <c r="G19" s="134" t="s">
        <v>318</v>
      </c>
      <c r="H19" s="135" t="s">
        <v>274</v>
      </c>
      <c r="I19" s="137">
        <v>25000</v>
      </c>
      <c r="J19" s="137">
        <v>1250</v>
      </c>
      <c r="K19" s="137">
        <v>1250</v>
      </c>
      <c r="L19" s="137">
        <v>0</v>
      </c>
      <c r="M19" s="137">
        <v>0</v>
      </c>
      <c r="N19" s="137">
        <v>0</v>
      </c>
      <c r="O19" s="137">
        <f t="shared" si="1"/>
        <v>22500</v>
      </c>
    </row>
    <row r="20" spans="1:15" s="138" customFormat="1" ht="90" customHeight="1" x14ac:dyDescent="0.2">
      <c r="A20" s="139">
        <v>12</v>
      </c>
      <c r="B20" s="140" t="s">
        <v>319</v>
      </c>
      <c r="C20" s="142" t="s">
        <v>320</v>
      </c>
      <c r="D20" s="141" t="s">
        <v>321</v>
      </c>
      <c r="E20" s="143" t="s">
        <v>115</v>
      </c>
      <c r="F20" s="143" t="s">
        <v>117</v>
      </c>
      <c r="G20" s="134" t="s">
        <v>322</v>
      </c>
      <c r="H20" s="135" t="s">
        <v>274</v>
      </c>
      <c r="I20" s="137">
        <v>363000</v>
      </c>
      <c r="J20" s="137">
        <v>18150</v>
      </c>
      <c r="K20" s="137">
        <v>18150</v>
      </c>
      <c r="L20" s="137">
        <v>0</v>
      </c>
      <c r="M20" s="137">
        <v>0</v>
      </c>
      <c r="N20" s="137">
        <v>0</v>
      </c>
      <c r="O20" s="137">
        <f t="shared" si="1"/>
        <v>326700</v>
      </c>
    </row>
    <row r="21" spans="1:15" s="138" customFormat="1" ht="90" customHeight="1" x14ac:dyDescent="0.2">
      <c r="A21" s="139">
        <v>13</v>
      </c>
      <c r="B21" s="140" t="s">
        <v>323</v>
      </c>
      <c r="C21" s="132" t="s">
        <v>324</v>
      </c>
      <c r="D21" s="133" t="s">
        <v>325</v>
      </c>
      <c r="E21" s="134" t="s">
        <v>115</v>
      </c>
      <c r="F21" s="134" t="s">
        <v>117</v>
      </c>
      <c r="G21" s="134" t="s">
        <v>326</v>
      </c>
      <c r="H21" s="135" t="s">
        <v>274</v>
      </c>
      <c r="I21" s="137">
        <v>115000</v>
      </c>
      <c r="J21" s="137">
        <v>5750</v>
      </c>
      <c r="K21" s="137">
        <v>5750</v>
      </c>
      <c r="L21" s="137">
        <v>0</v>
      </c>
      <c r="M21" s="137">
        <v>0</v>
      </c>
      <c r="N21" s="137">
        <v>0</v>
      </c>
      <c r="O21" s="137">
        <f t="shared" si="1"/>
        <v>103500</v>
      </c>
    </row>
    <row r="22" spans="1:15" s="138" customFormat="1" ht="150" customHeight="1" x14ac:dyDescent="0.2">
      <c r="A22" s="139">
        <v>14</v>
      </c>
      <c r="B22" s="140" t="s">
        <v>327</v>
      </c>
      <c r="C22" s="132" t="s">
        <v>328</v>
      </c>
      <c r="D22" s="133" t="s">
        <v>329</v>
      </c>
      <c r="E22" s="134" t="s">
        <v>121</v>
      </c>
      <c r="F22" s="134" t="s">
        <v>161</v>
      </c>
      <c r="G22" s="134" t="s">
        <v>330</v>
      </c>
      <c r="H22" s="135" t="s">
        <v>331</v>
      </c>
      <c r="I22" s="137">
        <v>116000</v>
      </c>
      <c r="J22" s="137">
        <v>0</v>
      </c>
      <c r="K22" s="137">
        <v>0</v>
      </c>
      <c r="L22" s="137">
        <v>0</v>
      </c>
      <c r="M22" s="137">
        <v>0</v>
      </c>
      <c r="N22" s="145" t="s">
        <v>311</v>
      </c>
      <c r="O22" s="137">
        <f t="shared" si="1"/>
        <v>116000</v>
      </c>
    </row>
    <row r="23" spans="1:15" s="138" customFormat="1" ht="216" customHeight="1" x14ac:dyDescent="0.2">
      <c r="A23" s="139">
        <v>15</v>
      </c>
      <c r="B23" s="140" t="s">
        <v>332</v>
      </c>
      <c r="C23" s="132" t="s">
        <v>333</v>
      </c>
      <c r="D23" s="133" t="s">
        <v>334</v>
      </c>
      <c r="E23" s="134" t="s">
        <v>335</v>
      </c>
      <c r="F23" s="134" t="s">
        <v>19</v>
      </c>
      <c r="G23" s="134" t="s">
        <v>336</v>
      </c>
      <c r="H23" s="135" t="s">
        <v>337</v>
      </c>
      <c r="I23" s="137">
        <v>190000</v>
      </c>
      <c r="J23" s="137">
        <v>9500</v>
      </c>
      <c r="K23" s="137">
        <v>9500</v>
      </c>
      <c r="L23" s="137">
        <v>0</v>
      </c>
      <c r="M23" s="137">
        <v>0</v>
      </c>
      <c r="N23" s="137">
        <v>0</v>
      </c>
      <c r="O23" s="137">
        <f t="shared" si="1"/>
        <v>171000</v>
      </c>
    </row>
    <row r="24" spans="1:15" s="138" customFormat="1" ht="114.95" customHeight="1" x14ac:dyDescent="0.2">
      <c r="A24" s="139">
        <v>16</v>
      </c>
      <c r="B24" s="140" t="s">
        <v>338</v>
      </c>
      <c r="C24" s="132" t="s">
        <v>339</v>
      </c>
      <c r="D24" s="133" t="s">
        <v>340</v>
      </c>
      <c r="E24" s="134" t="s">
        <v>159</v>
      </c>
      <c r="F24" s="134" t="s">
        <v>161</v>
      </c>
      <c r="G24" s="134" t="s">
        <v>341</v>
      </c>
      <c r="H24" s="135" t="s">
        <v>342</v>
      </c>
      <c r="I24" s="137">
        <v>101500</v>
      </c>
      <c r="J24" s="137">
        <v>0</v>
      </c>
      <c r="K24" s="137">
        <v>0</v>
      </c>
      <c r="L24" s="137">
        <v>0</v>
      </c>
      <c r="M24" s="137">
        <v>0</v>
      </c>
      <c r="N24" s="145" t="s">
        <v>311</v>
      </c>
      <c r="O24" s="137">
        <f t="shared" si="1"/>
        <v>101500</v>
      </c>
    </row>
    <row r="25" spans="1:15" s="138" customFormat="1" ht="90" customHeight="1" x14ac:dyDescent="0.2">
      <c r="A25" s="139">
        <v>17</v>
      </c>
      <c r="B25" s="140" t="s">
        <v>338</v>
      </c>
      <c r="C25" s="132" t="s">
        <v>343</v>
      </c>
      <c r="D25" s="133" t="s">
        <v>344</v>
      </c>
      <c r="E25" s="134" t="s">
        <v>115</v>
      </c>
      <c r="F25" s="134" t="s">
        <v>117</v>
      </c>
      <c r="G25" s="134" t="s">
        <v>345</v>
      </c>
      <c r="H25" s="135" t="s">
        <v>274</v>
      </c>
      <c r="I25" s="137">
        <v>182000</v>
      </c>
      <c r="J25" s="137">
        <v>9100</v>
      </c>
      <c r="K25" s="137">
        <v>9100</v>
      </c>
      <c r="L25" s="137">
        <v>0</v>
      </c>
      <c r="M25" s="137">
        <v>0</v>
      </c>
      <c r="N25" s="137">
        <v>0</v>
      </c>
      <c r="O25" s="137">
        <f t="shared" si="1"/>
        <v>163800</v>
      </c>
    </row>
    <row r="26" spans="1:15" s="138" customFormat="1" ht="90" customHeight="1" x14ac:dyDescent="0.2">
      <c r="A26" s="139">
        <v>18</v>
      </c>
      <c r="B26" s="140" t="s">
        <v>346</v>
      </c>
      <c r="C26" s="132" t="s">
        <v>347</v>
      </c>
      <c r="D26" s="133" t="s">
        <v>348</v>
      </c>
      <c r="E26" s="134" t="s">
        <v>115</v>
      </c>
      <c r="F26" s="134" t="s">
        <v>117</v>
      </c>
      <c r="G26" s="134" t="s">
        <v>318</v>
      </c>
      <c r="H26" s="135" t="s">
        <v>274</v>
      </c>
      <c r="I26" s="137">
        <v>25000</v>
      </c>
      <c r="J26" s="137">
        <v>1250</v>
      </c>
      <c r="K26" s="137">
        <v>1250</v>
      </c>
      <c r="L26" s="137">
        <v>0</v>
      </c>
      <c r="M26" s="137">
        <v>0</v>
      </c>
      <c r="N26" s="137">
        <v>0</v>
      </c>
      <c r="O26" s="137">
        <f t="shared" si="1"/>
        <v>22500</v>
      </c>
    </row>
    <row r="27" spans="1:15" s="138" customFormat="1" ht="90" customHeight="1" x14ac:dyDescent="0.2">
      <c r="A27" s="139">
        <v>19</v>
      </c>
      <c r="B27" s="140" t="s">
        <v>349</v>
      </c>
      <c r="C27" s="132" t="s">
        <v>350</v>
      </c>
      <c r="D27" s="133" t="s">
        <v>351</v>
      </c>
      <c r="E27" s="134" t="s">
        <v>115</v>
      </c>
      <c r="F27" s="134" t="s">
        <v>117</v>
      </c>
      <c r="G27" s="134" t="s">
        <v>318</v>
      </c>
      <c r="H27" s="135" t="s">
        <v>274</v>
      </c>
      <c r="I27" s="137">
        <v>25000</v>
      </c>
      <c r="J27" s="137">
        <v>1250</v>
      </c>
      <c r="K27" s="137">
        <v>1250</v>
      </c>
      <c r="L27" s="137">
        <v>0</v>
      </c>
      <c r="M27" s="137">
        <v>0</v>
      </c>
      <c r="N27" s="137">
        <v>0</v>
      </c>
      <c r="O27" s="137">
        <f t="shared" si="1"/>
        <v>22500</v>
      </c>
    </row>
    <row r="28" spans="1:15" s="138" customFormat="1" ht="200.1" customHeight="1" x14ac:dyDescent="0.2">
      <c r="A28" s="139">
        <v>20</v>
      </c>
      <c r="B28" s="140" t="s">
        <v>349</v>
      </c>
      <c r="C28" s="132" t="s">
        <v>352</v>
      </c>
      <c r="D28" s="133" t="s">
        <v>353</v>
      </c>
      <c r="E28" s="134" t="s">
        <v>199</v>
      </c>
      <c r="F28" s="134" t="s">
        <v>19</v>
      </c>
      <c r="G28" s="134" t="s">
        <v>354</v>
      </c>
      <c r="H28" s="135" t="s">
        <v>355</v>
      </c>
      <c r="I28" s="137">
        <v>240000</v>
      </c>
      <c r="J28" s="137">
        <v>12000</v>
      </c>
      <c r="K28" s="137">
        <v>12000</v>
      </c>
      <c r="L28" s="137">
        <v>0</v>
      </c>
      <c r="M28" s="137">
        <v>0</v>
      </c>
      <c r="N28" s="137">
        <v>0</v>
      </c>
      <c r="O28" s="137">
        <f t="shared" si="1"/>
        <v>216000</v>
      </c>
    </row>
    <row r="29" spans="1:15" s="138" customFormat="1" ht="110.1" customHeight="1" x14ac:dyDescent="0.2">
      <c r="A29" s="139">
        <v>21</v>
      </c>
      <c r="B29" s="140" t="s">
        <v>356</v>
      </c>
      <c r="C29" s="132" t="s">
        <v>357</v>
      </c>
      <c r="D29" s="133" t="s">
        <v>358</v>
      </c>
      <c r="E29" s="134" t="s">
        <v>359</v>
      </c>
      <c r="F29" s="134" t="s">
        <v>360</v>
      </c>
      <c r="G29" s="134" t="s">
        <v>361</v>
      </c>
      <c r="H29" s="135" t="s">
        <v>362</v>
      </c>
      <c r="I29" s="137">
        <v>33000</v>
      </c>
      <c r="J29" s="137">
        <v>16500</v>
      </c>
      <c r="K29" s="137">
        <v>16500</v>
      </c>
      <c r="L29" s="137">
        <v>0</v>
      </c>
      <c r="M29" s="137">
        <v>0</v>
      </c>
      <c r="N29" s="137">
        <v>0</v>
      </c>
      <c r="O29" s="137">
        <f t="shared" si="1"/>
        <v>0</v>
      </c>
    </row>
    <row r="30" spans="1:15" s="138" customFormat="1" ht="90" customHeight="1" x14ac:dyDescent="0.2">
      <c r="A30" s="139">
        <v>22</v>
      </c>
      <c r="B30" s="140" t="s">
        <v>363</v>
      </c>
      <c r="C30" s="132" t="s">
        <v>364</v>
      </c>
      <c r="D30" s="133" t="s">
        <v>365</v>
      </c>
      <c r="E30" s="134" t="s">
        <v>115</v>
      </c>
      <c r="F30" s="134" t="s">
        <v>117</v>
      </c>
      <c r="G30" s="134" t="s">
        <v>318</v>
      </c>
      <c r="H30" s="135" t="s">
        <v>274</v>
      </c>
      <c r="I30" s="137">
        <v>25000</v>
      </c>
      <c r="J30" s="137">
        <v>1250</v>
      </c>
      <c r="K30" s="137">
        <v>1250</v>
      </c>
      <c r="L30" s="137">
        <v>0</v>
      </c>
      <c r="M30" s="137">
        <v>0</v>
      </c>
      <c r="N30" s="137">
        <v>0</v>
      </c>
      <c r="O30" s="137">
        <f t="shared" si="1"/>
        <v>22500</v>
      </c>
    </row>
    <row r="31" spans="1:15" s="138" customFormat="1" ht="110.1" customHeight="1" x14ac:dyDescent="0.2">
      <c r="A31" s="139">
        <v>23</v>
      </c>
      <c r="B31" s="140" t="s">
        <v>366</v>
      </c>
      <c r="C31" s="133" t="s">
        <v>367</v>
      </c>
      <c r="D31" s="133" t="s">
        <v>368</v>
      </c>
      <c r="E31" s="134" t="s">
        <v>199</v>
      </c>
      <c r="F31" s="134" t="s">
        <v>19</v>
      </c>
      <c r="G31" s="134" t="s">
        <v>369</v>
      </c>
      <c r="H31" s="135" t="s">
        <v>370</v>
      </c>
      <c r="I31" s="137">
        <f>18000+30000</f>
        <v>48000</v>
      </c>
      <c r="J31" s="137">
        <f>900+1500</f>
        <v>2400</v>
      </c>
      <c r="K31" s="137">
        <f>900+1500</f>
        <v>2400</v>
      </c>
      <c r="L31" s="137">
        <v>0</v>
      </c>
      <c r="M31" s="137">
        <v>0</v>
      </c>
      <c r="N31" s="137">
        <v>0</v>
      </c>
      <c r="O31" s="137">
        <f t="shared" si="1"/>
        <v>43200</v>
      </c>
    </row>
    <row r="32" spans="1:15" s="138" customFormat="1" ht="129.94999999999999" customHeight="1" x14ac:dyDescent="0.2">
      <c r="A32" s="139">
        <v>24</v>
      </c>
      <c r="B32" s="140" t="s">
        <v>371</v>
      </c>
      <c r="C32" s="132" t="s">
        <v>372</v>
      </c>
      <c r="D32" s="133" t="s">
        <v>373</v>
      </c>
      <c r="E32" s="134" t="s">
        <v>374</v>
      </c>
      <c r="F32" s="134" t="s">
        <v>19</v>
      </c>
      <c r="G32" s="134" t="s">
        <v>369</v>
      </c>
      <c r="H32" s="135" t="s">
        <v>375</v>
      </c>
      <c r="I32" s="137">
        <v>8625</v>
      </c>
      <c r="J32" s="137">
        <v>431.25</v>
      </c>
      <c r="K32" s="137">
        <v>431.25</v>
      </c>
      <c r="L32" s="137">
        <v>0</v>
      </c>
      <c r="M32" s="137">
        <v>0</v>
      </c>
      <c r="N32" s="137">
        <v>0</v>
      </c>
      <c r="O32" s="137">
        <f t="shared" si="1"/>
        <v>7762.5</v>
      </c>
    </row>
    <row r="33" spans="1:15" s="138" customFormat="1" ht="114.95" customHeight="1" x14ac:dyDescent="0.2">
      <c r="A33" s="139">
        <v>25</v>
      </c>
      <c r="B33" s="140" t="s">
        <v>371</v>
      </c>
      <c r="C33" s="132" t="s">
        <v>376</v>
      </c>
      <c r="D33" s="133" t="s">
        <v>377</v>
      </c>
      <c r="E33" s="134" t="s">
        <v>335</v>
      </c>
      <c r="F33" s="134" t="s">
        <v>19</v>
      </c>
      <c r="G33" s="134" t="s">
        <v>378</v>
      </c>
      <c r="H33" s="135" t="s">
        <v>379</v>
      </c>
      <c r="I33" s="137">
        <v>285000</v>
      </c>
      <c r="J33" s="137">
        <v>14250</v>
      </c>
      <c r="K33" s="137">
        <v>14250</v>
      </c>
      <c r="L33" s="137">
        <v>0</v>
      </c>
      <c r="M33" s="137">
        <v>0</v>
      </c>
      <c r="N33" s="137">
        <v>0</v>
      </c>
      <c r="O33" s="137">
        <f t="shared" si="1"/>
        <v>256500</v>
      </c>
    </row>
    <row r="34" spans="1:15" s="138" customFormat="1" ht="178.5" customHeight="1" x14ac:dyDescent="0.2">
      <c r="A34" s="139">
        <v>26</v>
      </c>
      <c r="B34" s="140" t="s">
        <v>380</v>
      </c>
      <c r="C34" s="133" t="s">
        <v>381</v>
      </c>
      <c r="D34" s="133" t="s">
        <v>382</v>
      </c>
      <c r="E34" s="134" t="s">
        <v>181</v>
      </c>
      <c r="F34" s="134" t="s">
        <v>383</v>
      </c>
      <c r="G34" s="134" t="s">
        <v>361</v>
      </c>
      <c r="H34" s="135" t="s">
        <v>384</v>
      </c>
      <c r="I34" s="137">
        <v>38000</v>
      </c>
      <c r="J34" s="137">
        <v>19000</v>
      </c>
      <c r="K34" s="137">
        <v>19000</v>
      </c>
      <c r="L34" s="137">
        <v>0</v>
      </c>
      <c r="M34" s="137">
        <v>0</v>
      </c>
      <c r="N34" s="137">
        <v>0</v>
      </c>
      <c r="O34" s="137">
        <f t="shared" si="1"/>
        <v>0</v>
      </c>
    </row>
    <row r="35" spans="1:15" s="138" customFormat="1" ht="110.1" customHeight="1" x14ac:dyDescent="0.2">
      <c r="A35" s="139">
        <v>27</v>
      </c>
      <c r="B35" s="140" t="s">
        <v>385</v>
      </c>
      <c r="C35" s="133" t="s">
        <v>386</v>
      </c>
      <c r="D35" s="133" t="s">
        <v>387</v>
      </c>
      <c r="E35" s="134" t="s">
        <v>388</v>
      </c>
      <c r="F35" s="134" t="s">
        <v>19</v>
      </c>
      <c r="G35" s="134" t="s">
        <v>389</v>
      </c>
      <c r="H35" s="135" t="s">
        <v>390</v>
      </c>
      <c r="I35" s="137">
        <v>133000</v>
      </c>
      <c r="J35" s="137">
        <v>0</v>
      </c>
      <c r="K35" s="137">
        <v>0</v>
      </c>
      <c r="L35" s="137">
        <v>0</v>
      </c>
      <c r="M35" s="137">
        <v>0</v>
      </c>
      <c r="N35" s="137">
        <v>0</v>
      </c>
      <c r="O35" s="137">
        <f t="shared" si="1"/>
        <v>133000</v>
      </c>
    </row>
    <row r="36" spans="1:15" s="138" customFormat="1" ht="114.95" customHeight="1" x14ac:dyDescent="0.2">
      <c r="A36" s="139">
        <v>28</v>
      </c>
      <c r="B36" s="140" t="s">
        <v>391</v>
      </c>
      <c r="C36" s="132" t="s">
        <v>392</v>
      </c>
      <c r="D36" s="133" t="s">
        <v>393</v>
      </c>
      <c r="E36" s="134" t="s">
        <v>115</v>
      </c>
      <c r="F36" s="134" t="s">
        <v>117</v>
      </c>
      <c r="G36" s="134" t="s">
        <v>394</v>
      </c>
      <c r="H36" s="135" t="s">
        <v>395</v>
      </c>
      <c r="I36" s="137">
        <v>1000</v>
      </c>
      <c r="J36" s="137">
        <v>0</v>
      </c>
      <c r="K36" s="137">
        <v>0</v>
      </c>
      <c r="L36" s="137">
        <v>0</v>
      </c>
      <c r="M36" s="137">
        <v>0</v>
      </c>
      <c r="N36" s="145" t="s">
        <v>311</v>
      </c>
      <c r="O36" s="137">
        <f t="shared" si="1"/>
        <v>1000</v>
      </c>
    </row>
    <row r="37" spans="1:15" s="138" customFormat="1" ht="216" customHeight="1" x14ac:dyDescent="0.2">
      <c r="A37" s="139">
        <v>29</v>
      </c>
      <c r="B37" s="140" t="s">
        <v>396</v>
      </c>
      <c r="C37" s="133" t="s">
        <v>397</v>
      </c>
      <c r="D37" s="133" t="s">
        <v>398</v>
      </c>
      <c r="E37" s="134" t="s">
        <v>199</v>
      </c>
      <c r="F37" s="134" t="s">
        <v>19</v>
      </c>
      <c r="G37" s="134" t="s">
        <v>399</v>
      </c>
      <c r="H37" s="135" t="s">
        <v>400</v>
      </c>
      <c r="I37" s="137">
        <v>960000</v>
      </c>
      <c r="J37" s="137">
        <v>48000</v>
      </c>
      <c r="K37" s="137">
        <v>48000</v>
      </c>
      <c r="L37" s="137">
        <v>0</v>
      </c>
      <c r="M37" s="137">
        <v>0</v>
      </c>
      <c r="N37" s="137">
        <v>0</v>
      </c>
      <c r="O37" s="137">
        <f t="shared" si="1"/>
        <v>864000</v>
      </c>
    </row>
    <row r="38" spans="1:15" s="138" customFormat="1" ht="129.94999999999999" customHeight="1" x14ac:dyDescent="0.2">
      <c r="A38" s="139">
        <v>30</v>
      </c>
      <c r="B38" s="140" t="s">
        <v>401</v>
      </c>
      <c r="C38" s="132" t="s">
        <v>402</v>
      </c>
      <c r="D38" s="133" t="s">
        <v>403</v>
      </c>
      <c r="E38" s="134" t="s">
        <v>404</v>
      </c>
      <c r="F38" s="134" t="s">
        <v>161</v>
      </c>
      <c r="G38" s="134" t="s">
        <v>405</v>
      </c>
      <c r="H38" s="135" t="s">
        <v>406</v>
      </c>
      <c r="I38" s="137">
        <v>787730.12</v>
      </c>
      <c r="J38" s="137">
        <v>39386.5</v>
      </c>
      <c r="K38" s="137">
        <v>39386.5</v>
      </c>
      <c r="L38" s="137">
        <v>0</v>
      </c>
      <c r="M38" s="137">
        <v>0</v>
      </c>
      <c r="N38" s="137">
        <v>0</v>
      </c>
      <c r="O38" s="137">
        <f t="shared" si="1"/>
        <v>708957.12</v>
      </c>
    </row>
    <row r="39" spans="1:15" s="138" customFormat="1" ht="210.95" customHeight="1" x14ac:dyDescent="0.2">
      <c r="A39" s="139">
        <v>31</v>
      </c>
      <c r="B39" s="140" t="s">
        <v>407</v>
      </c>
      <c r="C39" s="132" t="s">
        <v>408</v>
      </c>
      <c r="D39" s="133" t="s">
        <v>409</v>
      </c>
      <c r="E39" s="134" t="s">
        <v>335</v>
      </c>
      <c r="F39" s="134" t="s">
        <v>19</v>
      </c>
      <c r="G39" s="134" t="s">
        <v>336</v>
      </c>
      <c r="H39" s="135" t="s">
        <v>410</v>
      </c>
      <c r="I39" s="137">
        <v>190000</v>
      </c>
      <c r="J39" s="137">
        <v>9500</v>
      </c>
      <c r="K39" s="137">
        <v>9500</v>
      </c>
      <c r="L39" s="137">
        <v>0</v>
      </c>
      <c r="M39" s="137">
        <v>0</v>
      </c>
      <c r="N39" s="137">
        <v>0</v>
      </c>
      <c r="O39" s="137">
        <f t="shared" si="1"/>
        <v>171000</v>
      </c>
    </row>
    <row r="40" spans="1:15" s="138" customFormat="1" ht="93.95" customHeight="1" x14ac:dyDescent="0.2">
      <c r="A40" s="139">
        <v>32</v>
      </c>
      <c r="B40" s="140" t="s">
        <v>411</v>
      </c>
      <c r="C40" s="133" t="s">
        <v>412</v>
      </c>
      <c r="D40" s="133" t="s">
        <v>413</v>
      </c>
      <c r="E40" s="134" t="s">
        <v>115</v>
      </c>
      <c r="F40" s="134" t="s">
        <v>117</v>
      </c>
      <c r="G40" s="134" t="s">
        <v>318</v>
      </c>
      <c r="H40" s="135" t="s">
        <v>274</v>
      </c>
      <c r="I40" s="137">
        <v>10000</v>
      </c>
      <c r="J40" s="137">
        <v>500</v>
      </c>
      <c r="K40" s="137">
        <v>500</v>
      </c>
      <c r="L40" s="137">
        <v>0</v>
      </c>
      <c r="M40" s="137">
        <v>0</v>
      </c>
      <c r="N40" s="137">
        <v>0</v>
      </c>
      <c r="O40" s="137">
        <f t="shared" si="1"/>
        <v>9000</v>
      </c>
    </row>
    <row r="41" spans="1:15" s="138" customFormat="1" ht="129.94999999999999" customHeight="1" x14ac:dyDescent="0.2">
      <c r="A41" s="139">
        <v>33</v>
      </c>
      <c r="B41" s="140" t="s">
        <v>414</v>
      </c>
      <c r="C41" s="132" t="s">
        <v>415</v>
      </c>
      <c r="D41" s="133" t="s">
        <v>416</v>
      </c>
      <c r="E41" s="134" t="s">
        <v>404</v>
      </c>
      <c r="F41" s="134" t="s">
        <v>161</v>
      </c>
      <c r="G41" s="134" t="s">
        <v>405</v>
      </c>
      <c r="H41" s="135" t="s">
        <v>417</v>
      </c>
      <c r="I41" s="137">
        <v>1969325.3</v>
      </c>
      <c r="J41" s="137">
        <v>98466.25</v>
      </c>
      <c r="K41" s="137">
        <v>98466.25</v>
      </c>
      <c r="L41" s="137">
        <v>0</v>
      </c>
      <c r="M41" s="137">
        <v>0</v>
      </c>
      <c r="N41" s="137">
        <v>0</v>
      </c>
      <c r="O41" s="137">
        <f t="shared" si="1"/>
        <v>1772392.8</v>
      </c>
    </row>
    <row r="42" spans="1:15" s="138" customFormat="1" ht="93.95" customHeight="1" x14ac:dyDescent="0.2">
      <c r="A42" s="139">
        <v>34</v>
      </c>
      <c r="B42" s="140" t="s">
        <v>418</v>
      </c>
      <c r="C42" s="133" t="s">
        <v>419</v>
      </c>
      <c r="D42" s="133" t="s">
        <v>420</v>
      </c>
      <c r="E42" s="134" t="s">
        <v>115</v>
      </c>
      <c r="F42" s="134" t="s">
        <v>117</v>
      </c>
      <c r="G42" s="134" t="s">
        <v>318</v>
      </c>
      <c r="H42" s="135" t="s">
        <v>421</v>
      </c>
      <c r="I42" s="137">
        <v>25000</v>
      </c>
      <c r="J42" s="137">
        <v>1250</v>
      </c>
      <c r="K42" s="137">
        <v>1250</v>
      </c>
      <c r="L42" s="137">
        <v>0</v>
      </c>
      <c r="M42" s="137">
        <v>0</v>
      </c>
      <c r="N42" s="137">
        <v>0</v>
      </c>
      <c r="O42" s="137">
        <f t="shared" si="1"/>
        <v>22500</v>
      </c>
    </row>
    <row r="43" spans="1:15" s="138" customFormat="1" ht="216" customHeight="1" x14ac:dyDescent="0.2">
      <c r="A43" s="139">
        <v>35</v>
      </c>
      <c r="B43" s="140" t="s">
        <v>422</v>
      </c>
      <c r="C43" s="132" t="s">
        <v>423</v>
      </c>
      <c r="D43" s="133" t="s">
        <v>424</v>
      </c>
      <c r="E43" s="134" t="s">
        <v>335</v>
      </c>
      <c r="F43" s="134" t="s">
        <v>19</v>
      </c>
      <c r="G43" s="134" t="s">
        <v>336</v>
      </c>
      <c r="H43" s="135" t="s">
        <v>425</v>
      </c>
      <c r="I43" s="137">
        <v>190000</v>
      </c>
      <c r="J43" s="137">
        <v>9500</v>
      </c>
      <c r="K43" s="137">
        <v>9500</v>
      </c>
      <c r="L43" s="137">
        <v>0</v>
      </c>
      <c r="M43" s="137">
        <v>0</v>
      </c>
      <c r="N43" s="137">
        <v>0</v>
      </c>
      <c r="O43" s="137">
        <f t="shared" si="1"/>
        <v>171000</v>
      </c>
    </row>
    <row r="44" spans="1:15" s="138" customFormat="1" ht="129.94999999999999" customHeight="1" x14ac:dyDescent="0.2">
      <c r="A44" s="139">
        <v>36</v>
      </c>
      <c r="B44" s="140" t="s">
        <v>426</v>
      </c>
      <c r="C44" s="132" t="s">
        <v>427</v>
      </c>
      <c r="D44" s="133" t="s">
        <v>428</v>
      </c>
      <c r="E44" s="134" t="s">
        <v>404</v>
      </c>
      <c r="F44" s="134" t="s">
        <v>161</v>
      </c>
      <c r="G44" s="134" t="s">
        <v>405</v>
      </c>
      <c r="H44" s="135" t="s">
        <v>429</v>
      </c>
      <c r="I44" s="137">
        <v>1181595.18</v>
      </c>
      <c r="J44" s="137">
        <v>59079.75</v>
      </c>
      <c r="K44" s="137">
        <v>59079.75</v>
      </c>
      <c r="L44" s="137"/>
      <c r="M44" s="137"/>
      <c r="N44" s="137"/>
      <c r="O44" s="137">
        <f t="shared" si="1"/>
        <v>1063435.68</v>
      </c>
    </row>
    <row r="45" spans="1:15" s="138" customFormat="1" ht="110.1" customHeight="1" x14ac:dyDescent="0.2">
      <c r="A45" s="139">
        <v>37</v>
      </c>
      <c r="B45" s="140" t="s">
        <v>430</v>
      </c>
      <c r="C45" s="132" t="s">
        <v>431</v>
      </c>
      <c r="D45" s="133" t="s">
        <v>432</v>
      </c>
      <c r="E45" s="134" t="s">
        <v>388</v>
      </c>
      <c r="F45" s="134" t="s">
        <v>19</v>
      </c>
      <c r="G45" s="134" t="s">
        <v>389</v>
      </c>
      <c r="H45" s="135" t="s">
        <v>390</v>
      </c>
      <c r="I45" s="137">
        <v>213845</v>
      </c>
      <c r="J45" s="137"/>
      <c r="K45" s="137"/>
      <c r="L45" s="137"/>
      <c r="M45" s="137"/>
      <c r="N45" s="137"/>
      <c r="O45" s="137">
        <f t="shared" si="1"/>
        <v>213845</v>
      </c>
    </row>
    <row r="46" spans="1:15" s="138" customFormat="1" ht="95.1" customHeight="1" x14ac:dyDescent="0.2">
      <c r="A46" s="139">
        <v>38</v>
      </c>
      <c r="B46" s="140" t="s">
        <v>433</v>
      </c>
      <c r="C46" s="132" t="s">
        <v>434</v>
      </c>
      <c r="D46" s="133" t="s">
        <v>435</v>
      </c>
      <c r="E46" s="134" t="s">
        <v>115</v>
      </c>
      <c r="F46" s="134" t="s">
        <v>117</v>
      </c>
      <c r="G46" s="134" t="s">
        <v>318</v>
      </c>
      <c r="H46" s="135" t="s">
        <v>274</v>
      </c>
      <c r="I46" s="137">
        <v>25000</v>
      </c>
      <c r="J46" s="137">
        <v>1250</v>
      </c>
      <c r="K46" s="137">
        <v>1250</v>
      </c>
      <c r="L46" s="137"/>
      <c r="M46" s="137"/>
      <c r="N46" s="137"/>
      <c r="O46" s="137">
        <f t="shared" si="1"/>
        <v>22500</v>
      </c>
    </row>
    <row r="47" spans="1:15" s="138" customFormat="1" ht="144" customHeight="1" x14ac:dyDescent="0.2">
      <c r="A47" s="139">
        <v>39</v>
      </c>
      <c r="B47" s="140">
        <v>241687</v>
      </c>
      <c r="C47" s="132" t="s">
        <v>436</v>
      </c>
      <c r="D47" s="133" t="s">
        <v>437</v>
      </c>
      <c r="E47" s="134" t="s">
        <v>404</v>
      </c>
      <c r="F47" s="134" t="s">
        <v>161</v>
      </c>
      <c r="G47" s="134" t="s">
        <v>405</v>
      </c>
      <c r="H47" s="135" t="s">
        <v>438</v>
      </c>
      <c r="I47" s="137">
        <v>207297.4</v>
      </c>
      <c r="J47" s="137">
        <v>10364.870000000001</v>
      </c>
      <c r="K47" s="137">
        <v>10364.870000000001</v>
      </c>
      <c r="L47" s="137"/>
      <c r="M47" s="137"/>
      <c r="N47" s="137"/>
      <c r="O47" s="137">
        <f t="shared" si="1"/>
        <v>186567.66</v>
      </c>
    </row>
    <row r="48" spans="1:15" s="138" customFormat="1" ht="95.1" customHeight="1" x14ac:dyDescent="0.2">
      <c r="A48" s="139">
        <v>40</v>
      </c>
      <c r="B48" s="140">
        <v>241689</v>
      </c>
      <c r="C48" s="132" t="s">
        <v>439</v>
      </c>
      <c r="D48" s="133" t="s">
        <v>440</v>
      </c>
      <c r="E48" s="134" t="s">
        <v>115</v>
      </c>
      <c r="F48" s="134" t="s">
        <v>117</v>
      </c>
      <c r="G48" s="134" t="s">
        <v>441</v>
      </c>
      <c r="H48" s="135" t="s">
        <v>421</v>
      </c>
      <c r="I48" s="137">
        <v>60000</v>
      </c>
      <c r="J48" s="137">
        <v>3000</v>
      </c>
      <c r="K48" s="137">
        <v>3000</v>
      </c>
      <c r="L48" s="137"/>
      <c r="M48" s="137"/>
      <c r="N48" s="137"/>
      <c r="O48" s="137">
        <f t="shared" si="1"/>
        <v>54000</v>
      </c>
    </row>
    <row r="49" spans="1:15" s="138" customFormat="1" ht="95.1" customHeight="1" x14ac:dyDescent="0.2">
      <c r="A49" s="139">
        <v>41</v>
      </c>
      <c r="B49" s="140">
        <v>241691</v>
      </c>
      <c r="C49" s="132" t="s">
        <v>442</v>
      </c>
      <c r="D49" s="133" t="s">
        <v>443</v>
      </c>
      <c r="E49" s="134" t="s">
        <v>115</v>
      </c>
      <c r="F49" s="134" t="s">
        <v>117</v>
      </c>
      <c r="G49" s="134" t="s">
        <v>444</v>
      </c>
      <c r="H49" s="135" t="s">
        <v>421</v>
      </c>
      <c r="I49" s="137">
        <v>128000</v>
      </c>
      <c r="J49" s="137">
        <v>6400</v>
      </c>
      <c r="K49" s="137">
        <v>6400</v>
      </c>
      <c r="L49" s="137"/>
      <c r="M49" s="137"/>
      <c r="N49" s="137"/>
      <c r="O49" s="137">
        <f t="shared" si="1"/>
        <v>115200</v>
      </c>
    </row>
    <row r="50" spans="1:15" s="138" customFormat="1" ht="95.1" customHeight="1" x14ac:dyDescent="0.2">
      <c r="A50" s="139">
        <v>42</v>
      </c>
      <c r="B50" s="140">
        <v>241697</v>
      </c>
      <c r="C50" s="132" t="s">
        <v>445</v>
      </c>
      <c r="D50" s="133" t="s">
        <v>446</v>
      </c>
      <c r="E50" s="134" t="s">
        <v>115</v>
      </c>
      <c r="F50" s="134" t="s">
        <v>117</v>
      </c>
      <c r="G50" s="134" t="s">
        <v>345</v>
      </c>
      <c r="H50" s="135" t="s">
        <v>421</v>
      </c>
      <c r="I50" s="137">
        <v>139000</v>
      </c>
      <c r="J50" s="137">
        <v>6950</v>
      </c>
      <c r="K50" s="137">
        <v>6950</v>
      </c>
      <c r="L50" s="137"/>
      <c r="M50" s="137"/>
      <c r="N50" s="137"/>
      <c r="O50" s="137">
        <f t="shared" si="1"/>
        <v>125100</v>
      </c>
    </row>
    <row r="51" spans="1:15" ht="20.100000000000001" customHeight="1" x14ac:dyDescent="0.3">
      <c r="A51" s="124" t="s">
        <v>447</v>
      </c>
      <c r="B51" s="125"/>
      <c r="C51" s="126"/>
      <c r="D51" s="126"/>
      <c r="E51" s="127"/>
      <c r="F51" s="128"/>
      <c r="G51" s="128"/>
      <c r="H51" s="128"/>
      <c r="I51" s="129">
        <f>SUM(I52:I65)</f>
        <v>2684918.98</v>
      </c>
      <c r="J51" s="129">
        <f t="shared" ref="J51:O51" si="2">SUM(J52:J65)</f>
        <v>110035.45</v>
      </c>
      <c r="K51" s="129">
        <f t="shared" si="2"/>
        <v>213902.95</v>
      </c>
      <c r="L51" s="129">
        <f t="shared" si="2"/>
        <v>105000</v>
      </c>
      <c r="M51" s="129">
        <f t="shared" si="2"/>
        <v>105000</v>
      </c>
      <c r="N51" s="129">
        <f t="shared" si="2"/>
        <v>0</v>
      </c>
      <c r="O51" s="129">
        <f t="shared" si="2"/>
        <v>2150980.58</v>
      </c>
    </row>
    <row r="52" spans="1:15" s="138" customFormat="1" ht="110.1" customHeight="1" x14ac:dyDescent="0.2">
      <c r="A52" s="139">
        <v>1</v>
      </c>
      <c r="B52" s="140" t="s">
        <v>448</v>
      </c>
      <c r="C52" s="142" t="s">
        <v>449</v>
      </c>
      <c r="D52" s="141" t="s">
        <v>450</v>
      </c>
      <c r="E52" s="143" t="s">
        <v>451</v>
      </c>
      <c r="F52" s="143" t="s">
        <v>22</v>
      </c>
      <c r="G52" s="143" t="s">
        <v>452</v>
      </c>
      <c r="H52" s="144" t="s">
        <v>453</v>
      </c>
      <c r="I52" s="137">
        <v>218680.63</v>
      </c>
      <c r="J52" s="137">
        <v>10934.03</v>
      </c>
      <c r="K52" s="137">
        <v>10934.03</v>
      </c>
      <c r="L52" s="137">
        <v>0</v>
      </c>
      <c r="M52" s="137">
        <v>0</v>
      </c>
      <c r="N52" s="137"/>
      <c r="O52" s="137">
        <f t="shared" si="1"/>
        <v>196812.57</v>
      </c>
    </row>
    <row r="53" spans="1:15" s="138" customFormat="1" ht="129.94999999999999" customHeight="1" x14ac:dyDescent="0.2">
      <c r="A53" s="139">
        <v>2</v>
      </c>
      <c r="B53" s="140" t="s">
        <v>454</v>
      </c>
      <c r="C53" s="142" t="s">
        <v>455</v>
      </c>
      <c r="D53" s="141" t="s">
        <v>456</v>
      </c>
      <c r="E53" s="143" t="s">
        <v>451</v>
      </c>
      <c r="F53" s="143" t="s">
        <v>22</v>
      </c>
      <c r="G53" s="143" t="s">
        <v>457</v>
      </c>
      <c r="H53" s="144" t="s">
        <v>458</v>
      </c>
      <c r="I53" s="137">
        <v>288000</v>
      </c>
      <c r="J53" s="137">
        <v>14400</v>
      </c>
      <c r="K53" s="137">
        <v>14400</v>
      </c>
      <c r="L53" s="137">
        <v>0</v>
      </c>
      <c r="M53" s="137">
        <v>0</v>
      </c>
      <c r="N53" s="137">
        <v>0</v>
      </c>
      <c r="O53" s="137">
        <f t="shared" si="1"/>
        <v>259200</v>
      </c>
    </row>
    <row r="54" spans="1:15" s="138" customFormat="1" ht="146.44999999999999" customHeight="1" x14ac:dyDescent="0.2">
      <c r="A54" s="139">
        <v>3</v>
      </c>
      <c r="B54" s="140" t="s">
        <v>385</v>
      </c>
      <c r="C54" s="132" t="s">
        <v>459</v>
      </c>
      <c r="D54" s="133" t="s">
        <v>460</v>
      </c>
      <c r="E54" s="134" t="s">
        <v>461</v>
      </c>
      <c r="F54" s="134" t="s">
        <v>22</v>
      </c>
      <c r="G54" s="134" t="s">
        <v>462</v>
      </c>
      <c r="H54" s="135" t="s">
        <v>463</v>
      </c>
      <c r="I54" s="137">
        <v>222000</v>
      </c>
      <c r="J54" s="137">
        <v>0</v>
      </c>
      <c r="K54" s="137">
        <v>0</v>
      </c>
      <c r="L54" s="137">
        <v>15000</v>
      </c>
      <c r="M54" s="137">
        <v>15000</v>
      </c>
      <c r="N54" s="137"/>
      <c r="O54" s="137">
        <f t="shared" si="1"/>
        <v>192000</v>
      </c>
    </row>
    <row r="55" spans="1:15" s="138" customFormat="1" ht="179.1" customHeight="1" x14ac:dyDescent="0.2">
      <c r="A55" s="139">
        <v>4</v>
      </c>
      <c r="B55" s="140" t="s">
        <v>464</v>
      </c>
      <c r="C55" s="132" t="s">
        <v>465</v>
      </c>
      <c r="D55" s="133" t="s">
        <v>466</v>
      </c>
      <c r="E55" s="134" t="s">
        <v>467</v>
      </c>
      <c r="F55" s="134" t="s">
        <v>22</v>
      </c>
      <c r="G55" s="134" t="s">
        <v>468</v>
      </c>
      <c r="H55" s="135" t="s">
        <v>469</v>
      </c>
      <c r="I55" s="137">
        <v>169490</v>
      </c>
      <c r="J55" s="137">
        <v>0</v>
      </c>
      <c r="K55" s="137">
        <v>0</v>
      </c>
      <c r="L55" s="137">
        <v>15000</v>
      </c>
      <c r="M55" s="137">
        <v>15000</v>
      </c>
      <c r="N55" s="137">
        <v>0</v>
      </c>
      <c r="O55" s="137">
        <f>+I55-J55-K55-L55-M55</f>
        <v>139490</v>
      </c>
    </row>
    <row r="56" spans="1:15" s="138" customFormat="1" ht="195.95" customHeight="1" x14ac:dyDescent="0.2">
      <c r="A56" s="139">
        <v>5</v>
      </c>
      <c r="B56" s="140" t="s">
        <v>464</v>
      </c>
      <c r="C56" s="133" t="s">
        <v>470</v>
      </c>
      <c r="D56" s="133" t="s">
        <v>471</v>
      </c>
      <c r="E56" s="134" t="s">
        <v>472</v>
      </c>
      <c r="F56" s="134" t="s">
        <v>22</v>
      </c>
      <c r="G56" s="134" t="s">
        <v>468</v>
      </c>
      <c r="H56" s="135" t="s">
        <v>473</v>
      </c>
      <c r="I56" s="137">
        <v>171160</v>
      </c>
      <c r="J56" s="137">
        <v>0</v>
      </c>
      <c r="K56" s="137">
        <v>0</v>
      </c>
      <c r="L56" s="137">
        <v>15000</v>
      </c>
      <c r="M56" s="137">
        <v>15000</v>
      </c>
      <c r="N56" s="137">
        <v>0</v>
      </c>
      <c r="O56" s="137">
        <f t="shared" ref="O56:O65" si="3">+I56-J56-K56-L56-M56</f>
        <v>141160</v>
      </c>
    </row>
    <row r="57" spans="1:15" s="138" customFormat="1" ht="164.1" customHeight="1" x14ac:dyDescent="0.2">
      <c r="A57" s="139">
        <v>6</v>
      </c>
      <c r="B57" s="140" t="s">
        <v>464</v>
      </c>
      <c r="C57" s="132" t="s">
        <v>470</v>
      </c>
      <c r="D57" s="133" t="s">
        <v>474</v>
      </c>
      <c r="E57" s="134" t="s">
        <v>475</v>
      </c>
      <c r="F57" s="134" t="s">
        <v>22</v>
      </c>
      <c r="G57" s="134" t="s">
        <v>468</v>
      </c>
      <c r="H57" s="135" t="s">
        <v>476</v>
      </c>
      <c r="I57" s="137">
        <v>190000</v>
      </c>
      <c r="J57" s="137">
        <v>0</v>
      </c>
      <c r="K57" s="137">
        <v>0</v>
      </c>
      <c r="L57" s="137">
        <v>15000</v>
      </c>
      <c r="M57" s="137">
        <v>15000</v>
      </c>
      <c r="N57" s="137">
        <v>0</v>
      </c>
      <c r="O57" s="137">
        <f t="shared" si="3"/>
        <v>160000</v>
      </c>
    </row>
    <row r="58" spans="1:15" s="138" customFormat="1" ht="110.1" customHeight="1" x14ac:dyDescent="0.2">
      <c r="A58" s="139">
        <v>7</v>
      </c>
      <c r="B58" s="140" t="s">
        <v>477</v>
      </c>
      <c r="C58" s="132" t="s">
        <v>478</v>
      </c>
      <c r="D58" s="133" t="s">
        <v>479</v>
      </c>
      <c r="E58" s="134" t="s">
        <v>451</v>
      </c>
      <c r="F58" s="134" t="s">
        <v>22</v>
      </c>
      <c r="G58" s="143" t="s">
        <v>452</v>
      </c>
      <c r="H58" s="144" t="s">
        <v>480</v>
      </c>
      <c r="I58" s="137">
        <v>210111.84</v>
      </c>
      <c r="J58" s="137">
        <v>10505.59</v>
      </c>
      <c r="K58" s="137">
        <v>10505.59</v>
      </c>
      <c r="L58" s="137">
        <v>0</v>
      </c>
      <c r="M58" s="137">
        <v>0</v>
      </c>
      <c r="N58" s="137">
        <v>0</v>
      </c>
      <c r="O58" s="137">
        <f t="shared" si="3"/>
        <v>189100.66</v>
      </c>
    </row>
    <row r="59" spans="1:15" s="138" customFormat="1" ht="110.1" customHeight="1" x14ac:dyDescent="0.2">
      <c r="A59" s="139">
        <v>8</v>
      </c>
      <c r="B59" s="140" t="s">
        <v>477</v>
      </c>
      <c r="C59" s="132" t="s">
        <v>481</v>
      </c>
      <c r="D59" s="133" t="s">
        <v>482</v>
      </c>
      <c r="E59" s="134" t="s">
        <v>451</v>
      </c>
      <c r="F59" s="134" t="s">
        <v>22</v>
      </c>
      <c r="G59" s="134" t="s">
        <v>483</v>
      </c>
      <c r="H59" s="135" t="s">
        <v>484</v>
      </c>
      <c r="I59" s="137">
        <v>368241.51</v>
      </c>
      <c r="J59" s="137">
        <v>18412.080000000002</v>
      </c>
      <c r="K59" s="137">
        <v>18412.080000000002</v>
      </c>
      <c r="L59" s="137">
        <v>0</v>
      </c>
      <c r="M59" s="137">
        <v>0</v>
      </c>
      <c r="N59" s="137">
        <v>0</v>
      </c>
      <c r="O59" s="137">
        <f t="shared" si="3"/>
        <v>331417.34999999998</v>
      </c>
    </row>
    <row r="60" spans="1:15" s="138" customFormat="1" ht="111.95" customHeight="1" x14ac:dyDescent="0.2">
      <c r="A60" s="139">
        <v>9</v>
      </c>
      <c r="B60" s="140" t="s">
        <v>485</v>
      </c>
      <c r="C60" s="132" t="s">
        <v>486</v>
      </c>
      <c r="D60" s="133" t="s">
        <v>487</v>
      </c>
      <c r="E60" s="134" t="s">
        <v>451</v>
      </c>
      <c r="F60" s="134" t="s">
        <v>22</v>
      </c>
      <c r="G60" s="143" t="s">
        <v>457</v>
      </c>
      <c r="H60" s="144" t="s">
        <v>488</v>
      </c>
      <c r="I60" s="137">
        <f>32000+45000</f>
        <v>77000</v>
      </c>
      <c r="J60" s="137">
        <v>3850</v>
      </c>
      <c r="K60" s="137">
        <v>3850</v>
      </c>
      <c r="L60" s="137">
        <v>0</v>
      </c>
      <c r="M60" s="137">
        <v>0</v>
      </c>
      <c r="N60" s="137">
        <v>0</v>
      </c>
      <c r="O60" s="137">
        <f t="shared" si="3"/>
        <v>69300</v>
      </c>
    </row>
    <row r="61" spans="1:15" s="138" customFormat="1" ht="150" customHeight="1" x14ac:dyDescent="0.2">
      <c r="A61" s="139">
        <v>10</v>
      </c>
      <c r="B61" s="140" t="s">
        <v>489</v>
      </c>
      <c r="C61" s="132" t="s">
        <v>490</v>
      </c>
      <c r="D61" s="133" t="s">
        <v>491</v>
      </c>
      <c r="E61" s="134" t="s">
        <v>492</v>
      </c>
      <c r="F61" s="134" t="s">
        <v>22</v>
      </c>
      <c r="G61" s="134" t="s">
        <v>493</v>
      </c>
      <c r="H61" s="135" t="s">
        <v>494</v>
      </c>
      <c r="I61" s="137">
        <v>175000</v>
      </c>
      <c r="J61" s="137">
        <v>0</v>
      </c>
      <c r="K61" s="137">
        <v>0</v>
      </c>
      <c r="L61" s="137">
        <v>15000</v>
      </c>
      <c r="M61" s="137">
        <v>15000</v>
      </c>
      <c r="N61" s="137">
        <v>0</v>
      </c>
      <c r="O61" s="137">
        <f t="shared" si="3"/>
        <v>145000</v>
      </c>
    </row>
    <row r="62" spans="1:15" s="138" customFormat="1" ht="114.95" customHeight="1" x14ac:dyDescent="0.2">
      <c r="A62" s="139">
        <v>11</v>
      </c>
      <c r="B62" s="140" t="s">
        <v>489</v>
      </c>
      <c r="C62" s="132" t="s">
        <v>495</v>
      </c>
      <c r="D62" s="133" t="s">
        <v>496</v>
      </c>
      <c r="E62" s="134" t="s">
        <v>497</v>
      </c>
      <c r="F62" s="134" t="s">
        <v>22</v>
      </c>
      <c r="G62" s="134" t="s">
        <v>493</v>
      </c>
      <c r="H62" s="135" t="s">
        <v>498</v>
      </c>
      <c r="I62" s="137">
        <v>190000</v>
      </c>
      <c r="J62" s="137">
        <v>0</v>
      </c>
      <c r="K62" s="137">
        <v>0</v>
      </c>
      <c r="L62" s="137">
        <v>15000</v>
      </c>
      <c r="M62" s="137">
        <v>15000</v>
      </c>
      <c r="N62" s="137">
        <v>0</v>
      </c>
      <c r="O62" s="137">
        <f t="shared" si="3"/>
        <v>160000</v>
      </c>
    </row>
    <row r="63" spans="1:15" s="138" customFormat="1" ht="114.95" customHeight="1" x14ac:dyDescent="0.2">
      <c r="A63" s="139">
        <v>12</v>
      </c>
      <c r="B63" s="140" t="s">
        <v>499</v>
      </c>
      <c r="C63" s="132" t="s">
        <v>500</v>
      </c>
      <c r="D63" s="133" t="s">
        <v>501</v>
      </c>
      <c r="E63" s="134" t="s">
        <v>170</v>
      </c>
      <c r="F63" s="134" t="s">
        <v>22</v>
      </c>
      <c r="G63" s="134" t="s">
        <v>502</v>
      </c>
      <c r="H63" s="135" t="s">
        <v>503</v>
      </c>
      <c r="I63" s="137">
        <v>19000</v>
      </c>
      <c r="J63" s="137"/>
      <c r="K63" s="137"/>
      <c r="L63" s="137"/>
      <c r="M63" s="137"/>
      <c r="N63" s="145"/>
      <c r="O63" s="137">
        <f t="shared" si="3"/>
        <v>19000</v>
      </c>
    </row>
    <row r="64" spans="1:15" s="138" customFormat="1" ht="200.1" customHeight="1" x14ac:dyDescent="0.2">
      <c r="A64" s="139">
        <v>13</v>
      </c>
      <c r="B64" s="140" t="s">
        <v>499</v>
      </c>
      <c r="C64" s="132" t="s">
        <v>504</v>
      </c>
      <c r="D64" s="133" t="s">
        <v>505</v>
      </c>
      <c r="E64" s="134" t="s">
        <v>506</v>
      </c>
      <c r="F64" s="134" t="s">
        <v>22</v>
      </c>
      <c r="G64" s="134" t="s">
        <v>507</v>
      </c>
      <c r="H64" s="135" t="s">
        <v>508</v>
      </c>
      <c r="I64" s="137">
        <v>207735</v>
      </c>
      <c r="J64" s="137">
        <v>51933.75</v>
      </c>
      <c r="K64" s="137">
        <v>155801.25</v>
      </c>
      <c r="L64" s="137"/>
      <c r="M64" s="137"/>
      <c r="N64" s="137"/>
      <c r="O64" s="137">
        <f t="shared" si="3"/>
        <v>0</v>
      </c>
    </row>
    <row r="65" spans="1:15" s="138" customFormat="1" ht="68.25" customHeight="1" x14ac:dyDescent="0.2">
      <c r="A65" s="139">
        <v>14</v>
      </c>
      <c r="B65" s="140">
        <v>241676</v>
      </c>
      <c r="C65" s="132" t="s">
        <v>509</v>
      </c>
      <c r="D65" s="133" t="s">
        <v>510</v>
      </c>
      <c r="E65" s="134" t="s">
        <v>511</v>
      </c>
      <c r="F65" s="134" t="s">
        <v>512</v>
      </c>
      <c r="G65" s="134" t="s">
        <v>513</v>
      </c>
      <c r="H65" s="135" t="s">
        <v>514</v>
      </c>
      <c r="I65" s="137">
        <v>178500</v>
      </c>
      <c r="J65" s="137"/>
      <c r="K65" s="137"/>
      <c r="L65" s="137">
        <v>15000</v>
      </c>
      <c r="M65" s="137">
        <v>15000</v>
      </c>
      <c r="N65" s="137"/>
      <c r="O65" s="137">
        <f t="shared" si="3"/>
        <v>148500</v>
      </c>
    </row>
    <row r="66" spans="1:15" ht="20.100000000000001" customHeight="1" x14ac:dyDescent="0.3">
      <c r="A66" s="124" t="s">
        <v>515</v>
      </c>
      <c r="B66" s="125"/>
      <c r="C66" s="126"/>
      <c r="D66" s="126"/>
      <c r="E66" s="127"/>
      <c r="F66" s="128"/>
      <c r="G66" s="128"/>
      <c r="H66" s="128"/>
      <c r="I66" s="129">
        <f>SUM(I67)</f>
        <v>0</v>
      </c>
      <c r="J66" s="129">
        <f t="shared" ref="J66:O66" si="4">SUM(J67)</f>
        <v>0</v>
      </c>
      <c r="K66" s="129">
        <f t="shared" si="4"/>
        <v>0</v>
      </c>
      <c r="L66" s="129">
        <f t="shared" si="4"/>
        <v>0</v>
      </c>
      <c r="M66" s="129">
        <f t="shared" si="4"/>
        <v>0</v>
      </c>
      <c r="N66" s="129">
        <f t="shared" si="4"/>
        <v>0</v>
      </c>
      <c r="O66" s="129">
        <f t="shared" si="4"/>
        <v>0</v>
      </c>
    </row>
    <row r="67" spans="1:15" s="151" customFormat="1" ht="20.100000000000001" customHeight="1" x14ac:dyDescent="0.2">
      <c r="A67" s="146"/>
      <c r="B67" s="147"/>
      <c r="C67" s="146"/>
      <c r="D67" s="146"/>
      <c r="E67" s="148"/>
      <c r="F67" s="149"/>
      <c r="G67" s="149"/>
      <c r="H67" s="149"/>
      <c r="I67" s="150"/>
      <c r="J67" s="150"/>
      <c r="K67" s="150"/>
      <c r="L67" s="150"/>
      <c r="M67" s="150"/>
      <c r="N67" s="150"/>
      <c r="O67" s="150"/>
    </row>
    <row r="68" spans="1:15" s="153" customFormat="1" ht="20.100000000000001" customHeight="1" x14ac:dyDescent="0.2">
      <c r="A68" s="751" t="s">
        <v>516</v>
      </c>
      <c r="B68" s="752"/>
      <c r="C68" s="752"/>
      <c r="D68" s="752"/>
      <c r="E68" s="752"/>
      <c r="F68" s="752"/>
      <c r="G68" s="752"/>
      <c r="H68" s="753"/>
      <c r="I68" s="152">
        <f t="shared" ref="I68:O68" si="5">+I8+I51+I66</f>
        <v>13431736.98</v>
      </c>
      <c r="J68" s="152">
        <f t="shared" si="5"/>
        <v>632809.06999999995</v>
      </c>
      <c r="K68" s="152">
        <f t="shared" si="5"/>
        <v>736676.57000000007</v>
      </c>
      <c r="L68" s="152">
        <f t="shared" si="5"/>
        <v>112500</v>
      </c>
      <c r="M68" s="152">
        <f t="shared" si="5"/>
        <v>112500</v>
      </c>
      <c r="N68" s="152">
        <f t="shared" si="5"/>
        <v>0</v>
      </c>
      <c r="O68" s="152">
        <f t="shared" si="5"/>
        <v>11837251.34</v>
      </c>
    </row>
  </sheetData>
  <mergeCells count="18">
    <mergeCell ref="F6:F7"/>
    <mergeCell ref="G6:G7"/>
    <mergeCell ref="H6:H7"/>
    <mergeCell ref="I6:I7"/>
    <mergeCell ref="A68:H68"/>
    <mergeCell ref="A1:O1"/>
    <mergeCell ref="A2:O2"/>
    <mergeCell ref="A3:O3"/>
    <mergeCell ref="A5:A7"/>
    <mergeCell ref="B5:I5"/>
    <mergeCell ref="J5:M5"/>
    <mergeCell ref="O5:O7"/>
    <mergeCell ref="B6:B7"/>
    <mergeCell ref="C6:C7"/>
    <mergeCell ref="J6:K6"/>
    <mergeCell ref="L6:N6"/>
    <mergeCell ref="D6:D7"/>
    <mergeCell ref="E6:E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0"/>
  <sheetViews>
    <sheetView topLeftCell="A55" workbookViewId="0">
      <selection sqref="A1:G1"/>
    </sheetView>
  </sheetViews>
  <sheetFormatPr defaultRowHeight="19.5" x14ac:dyDescent="0.4"/>
  <cols>
    <col min="1" max="1" width="8.375" style="90" customWidth="1"/>
    <col min="2" max="2" width="18.625" style="90" customWidth="1"/>
    <col min="3" max="3" width="82.25" style="90" customWidth="1"/>
    <col min="4" max="4" width="22.75" style="90" customWidth="1"/>
    <col min="5" max="5" width="12.375" style="90" customWidth="1"/>
    <col min="6" max="6" width="10.375" style="91" customWidth="1"/>
    <col min="7" max="7" width="13.625" style="8" customWidth="1"/>
    <col min="8" max="8" width="0.5" style="91" customWidth="1"/>
    <col min="9" max="11" width="13.625" style="91" customWidth="1"/>
    <col min="12" max="12" width="0.5" style="91" customWidth="1"/>
    <col min="13" max="13" width="13.625" style="93" customWidth="1"/>
    <col min="14" max="14" width="10.625" style="8" customWidth="1"/>
    <col min="15" max="15" width="13.625" style="93" customWidth="1"/>
    <col min="16" max="16" width="10.625" style="8" customWidth="1"/>
    <col min="17" max="17" width="13.625" style="93" customWidth="1"/>
    <col min="18" max="18" width="10.625" style="8" customWidth="1"/>
    <col min="19" max="19" width="0.5" style="8" customWidth="1"/>
    <col min="20" max="22" width="10.625" style="8" customWidth="1"/>
    <col min="23" max="16384" width="9" style="8"/>
  </cols>
  <sheetData>
    <row r="1" spans="1:22" ht="20.25" x14ac:dyDescent="0.45">
      <c r="A1" s="785" t="s">
        <v>94</v>
      </c>
      <c r="B1" s="785"/>
      <c r="C1" s="785"/>
      <c r="D1" s="785"/>
      <c r="E1" s="785"/>
      <c r="F1" s="785"/>
      <c r="G1" s="785"/>
      <c r="H1" s="6"/>
      <c r="I1" s="6"/>
      <c r="J1" s="6"/>
      <c r="K1" s="6"/>
      <c r="L1" s="6"/>
      <c r="M1" s="7"/>
      <c r="N1" s="6"/>
      <c r="O1" s="7"/>
      <c r="P1" s="6"/>
      <c r="Q1" s="7"/>
      <c r="R1" s="6"/>
      <c r="S1" s="6"/>
      <c r="T1" s="6"/>
      <c r="U1" s="6"/>
      <c r="V1" s="6"/>
    </row>
    <row r="2" spans="1:22" s="12" customFormat="1" ht="20.25" x14ac:dyDescent="0.45">
      <c r="A2" s="786" t="s">
        <v>1</v>
      </c>
      <c r="B2" s="786" t="s">
        <v>95</v>
      </c>
      <c r="C2" s="786" t="s">
        <v>10</v>
      </c>
      <c r="D2" s="787" t="s">
        <v>3</v>
      </c>
      <c r="E2" s="786" t="s">
        <v>2</v>
      </c>
      <c r="F2" s="787" t="s">
        <v>4</v>
      </c>
      <c r="G2" s="788" t="s">
        <v>96</v>
      </c>
      <c r="H2" s="9"/>
      <c r="I2" s="773"/>
      <c r="J2" s="773"/>
      <c r="K2" s="773"/>
      <c r="L2" s="10"/>
      <c r="M2" s="774" t="s">
        <v>6</v>
      </c>
      <c r="N2" s="774"/>
      <c r="O2" s="774"/>
      <c r="P2" s="774"/>
      <c r="Q2" s="774"/>
      <c r="R2" s="774"/>
      <c r="S2" s="11"/>
      <c r="T2" s="775" t="s">
        <v>7</v>
      </c>
      <c r="U2" s="775"/>
      <c r="V2" s="775"/>
    </row>
    <row r="3" spans="1:22" s="12" customFormat="1" ht="20.25" x14ac:dyDescent="0.45">
      <c r="A3" s="786"/>
      <c r="B3" s="786"/>
      <c r="C3" s="786"/>
      <c r="D3" s="787"/>
      <c r="E3" s="786"/>
      <c r="F3" s="787"/>
      <c r="G3" s="789"/>
      <c r="H3" s="9"/>
      <c r="I3" s="776" t="s">
        <v>97</v>
      </c>
      <c r="J3" s="777"/>
      <c r="K3" s="778" t="s">
        <v>98</v>
      </c>
      <c r="L3" s="13"/>
      <c r="M3" s="780" t="s">
        <v>99</v>
      </c>
      <c r="N3" s="780"/>
      <c r="O3" s="781" t="s">
        <v>100</v>
      </c>
      <c r="P3" s="781"/>
      <c r="Q3" s="782" t="s">
        <v>101</v>
      </c>
      <c r="R3" s="783"/>
      <c r="S3" s="14"/>
      <c r="T3" s="784" t="s">
        <v>102</v>
      </c>
      <c r="U3" s="784" t="s">
        <v>103</v>
      </c>
      <c r="V3" s="771" t="s">
        <v>3</v>
      </c>
    </row>
    <row r="4" spans="1:22" s="12" customFormat="1" ht="20.25" x14ac:dyDescent="0.45">
      <c r="A4" s="786"/>
      <c r="B4" s="786"/>
      <c r="C4" s="786"/>
      <c r="D4" s="787"/>
      <c r="E4" s="786"/>
      <c r="F4" s="787"/>
      <c r="G4" s="790"/>
      <c r="H4" s="9"/>
      <c r="I4" s="15" t="s">
        <v>99</v>
      </c>
      <c r="J4" s="15" t="s">
        <v>104</v>
      </c>
      <c r="K4" s="779"/>
      <c r="L4" s="16"/>
      <c r="M4" s="17" t="s">
        <v>105</v>
      </c>
      <c r="N4" s="18" t="s">
        <v>4</v>
      </c>
      <c r="O4" s="19" t="s">
        <v>105</v>
      </c>
      <c r="P4" s="20" t="s">
        <v>4</v>
      </c>
      <c r="Q4" s="21" t="s">
        <v>105</v>
      </c>
      <c r="R4" s="22" t="s">
        <v>4</v>
      </c>
      <c r="S4" s="23"/>
      <c r="T4" s="772"/>
      <c r="U4" s="772"/>
      <c r="V4" s="772"/>
    </row>
    <row r="5" spans="1:22" s="12" customFormat="1" ht="20.25" x14ac:dyDescent="0.45">
      <c r="A5" s="24">
        <v>240970</v>
      </c>
      <c r="B5" s="24"/>
      <c r="C5" s="24"/>
      <c r="D5" s="25"/>
      <c r="E5" s="26"/>
      <c r="F5" s="27"/>
      <c r="G5" s="28"/>
      <c r="H5" s="29"/>
      <c r="I5" s="30"/>
      <c r="J5" s="30"/>
      <c r="K5" s="30"/>
      <c r="L5" s="31"/>
      <c r="M5" s="32"/>
      <c r="N5" s="33"/>
      <c r="O5" s="34"/>
      <c r="P5" s="33"/>
      <c r="Q5" s="32"/>
      <c r="R5" s="30"/>
      <c r="S5" s="35"/>
      <c r="T5" s="36">
        <v>306794.2</v>
      </c>
      <c r="U5" s="36">
        <f>75000-28000-32000</f>
        <v>15000</v>
      </c>
      <c r="V5" s="36">
        <v>0</v>
      </c>
    </row>
    <row r="6" spans="1:22" s="52" customFormat="1" ht="58.5" x14ac:dyDescent="0.2">
      <c r="A6" s="37">
        <v>240976</v>
      </c>
      <c r="B6" s="38" t="s">
        <v>106</v>
      </c>
      <c r="C6" s="39" t="s">
        <v>107</v>
      </c>
      <c r="D6" s="40" t="s">
        <v>108</v>
      </c>
      <c r="E6" s="41" t="s">
        <v>109</v>
      </c>
      <c r="F6" s="42">
        <v>28800</v>
      </c>
      <c r="G6" s="43" t="s">
        <v>110</v>
      </c>
      <c r="H6" s="44"/>
      <c r="I6" s="45">
        <v>14400</v>
      </c>
      <c r="J6" s="45">
        <v>0</v>
      </c>
      <c r="K6" s="45">
        <v>14400</v>
      </c>
      <c r="L6" s="46"/>
      <c r="M6" s="47"/>
      <c r="N6" s="48"/>
      <c r="O6" s="49"/>
      <c r="P6" s="48"/>
      <c r="Q6" s="49"/>
      <c r="R6" s="45"/>
      <c r="S6" s="50"/>
      <c r="T6" s="51">
        <f>+I6-N6</f>
        <v>14400</v>
      </c>
      <c r="U6" s="51">
        <f>+J6-P6</f>
        <v>0</v>
      </c>
      <c r="V6" s="51">
        <f>+K6-R6</f>
        <v>14400</v>
      </c>
    </row>
    <row r="7" spans="1:22" s="52" customFormat="1" ht="58.5" x14ac:dyDescent="0.2">
      <c r="A7" s="37">
        <v>240980</v>
      </c>
      <c r="B7" s="38" t="s">
        <v>111</v>
      </c>
      <c r="C7" s="39" t="s">
        <v>112</v>
      </c>
      <c r="D7" s="40" t="s">
        <v>19</v>
      </c>
      <c r="E7" s="41" t="s">
        <v>113</v>
      </c>
      <c r="F7" s="42">
        <v>1750000</v>
      </c>
      <c r="G7" s="53" t="s">
        <v>110</v>
      </c>
      <c r="H7" s="44"/>
      <c r="I7" s="45">
        <v>87500</v>
      </c>
      <c r="J7" s="45">
        <v>1575000</v>
      </c>
      <c r="K7" s="45">
        <v>87500</v>
      </c>
      <c r="L7" s="46"/>
      <c r="M7" s="47"/>
      <c r="N7" s="48"/>
      <c r="O7" s="49" t="s">
        <v>114</v>
      </c>
      <c r="P7" s="48">
        <v>1575000</v>
      </c>
      <c r="Q7" s="49"/>
      <c r="R7" s="45"/>
      <c r="S7" s="50"/>
      <c r="T7" s="51">
        <f t="shared" ref="T7:T51" si="0">+I7-N7</f>
        <v>87500</v>
      </c>
      <c r="U7" s="51">
        <f t="shared" ref="U7:U51" si="1">+J7-P7</f>
        <v>0</v>
      </c>
      <c r="V7" s="51">
        <f t="shared" ref="V7:V51" si="2">+K7-R7</f>
        <v>87500</v>
      </c>
    </row>
    <row r="8" spans="1:22" s="52" customFormat="1" ht="58.5" x14ac:dyDescent="0.2">
      <c r="A8" s="37">
        <v>240997</v>
      </c>
      <c r="B8" s="38" t="s">
        <v>115</v>
      </c>
      <c r="C8" s="39" t="s">
        <v>116</v>
      </c>
      <c r="D8" s="40" t="s">
        <v>117</v>
      </c>
      <c r="E8" s="41" t="s">
        <v>118</v>
      </c>
      <c r="F8" s="42">
        <v>610000</v>
      </c>
      <c r="G8" s="43" t="s">
        <v>119</v>
      </c>
      <c r="H8" s="44"/>
      <c r="I8" s="45">
        <v>30500</v>
      </c>
      <c r="J8" s="45">
        <v>549000</v>
      </c>
      <c r="K8" s="45">
        <v>30500</v>
      </c>
      <c r="L8" s="46"/>
      <c r="M8" s="47"/>
      <c r="N8" s="48"/>
      <c r="O8" s="49" t="s">
        <v>120</v>
      </c>
      <c r="P8" s="48">
        <v>549000</v>
      </c>
      <c r="Q8" s="49"/>
      <c r="R8" s="45"/>
      <c r="S8" s="50"/>
      <c r="T8" s="51">
        <f t="shared" si="0"/>
        <v>30500</v>
      </c>
      <c r="U8" s="51">
        <f t="shared" si="1"/>
        <v>0</v>
      </c>
      <c r="V8" s="51">
        <f t="shared" si="2"/>
        <v>30500</v>
      </c>
    </row>
    <row r="9" spans="1:22" s="52" customFormat="1" ht="39" x14ac:dyDescent="0.2">
      <c r="A9" s="37">
        <v>241004</v>
      </c>
      <c r="B9" s="38" t="s">
        <v>121</v>
      </c>
      <c r="C9" s="39" t="s">
        <v>122</v>
      </c>
      <c r="D9" s="40" t="s">
        <v>108</v>
      </c>
      <c r="E9" s="41" t="s">
        <v>123</v>
      </c>
      <c r="F9" s="42">
        <v>928000</v>
      </c>
      <c r="G9" s="53" t="s">
        <v>110</v>
      </c>
      <c r="H9" s="44"/>
      <c r="I9" s="45">
        <v>46400</v>
      </c>
      <c r="J9" s="45">
        <v>835200</v>
      </c>
      <c r="K9" s="45">
        <v>46400</v>
      </c>
      <c r="L9" s="46"/>
      <c r="M9" s="47"/>
      <c r="N9" s="48"/>
      <c r="O9" s="49" t="s">
        <v>124</v>
      </c>
      <c r="P9" s="48">
        <v>835200</v>
      </c>
      <c r="Q9" s="49"/>
      <c r="R9" s="45"/>
      <c r="S9" s="50"/>
      <c r="T9" s="51">
        <f t="shared" si="0"/>
        <v>46400</v>
      </c>
      <c r="U9" s="51">
        <f t="shared" si="1"/>
        <v>0</v>
      </c>
      <c r="V9" s="51">
        <f t="shared" si="2"/>
        <v>46400</v>
      </c>
    </row>
    <row r="10" spans="1:22" s="52" customFormat="1" ht="39" x14ac:dyDescent="0.2">
      <c r="A10" s="37">
        <v>241008</v>
      </c>
      <c r="B10" s="38" t="s">
        <v>115</v>
      </c>
      <c r="C10" s="39" t="s">
        <v>125</v>
      </c>
      <c r="D10" s="40" t="s">
        <v>117</v>
      </c>
      <c r="E10" s="41" t="s">
        <v>126</v>
      </c>
      <c r="F10" s="42">
        <v>297000</v>
      </c>
      <c r="G10" s="43" t="s">
        <v>119</v>
      </c>
      <c r="H10" s="44"/>
      <c r="I10" s="45">
        <v>14850</v>
      </c>
      <c r="J10" s="45">
        <v>267300</v>
      </c>
      <c r="K10" s="45">
        <v>14850</v>
      </c>
      <c r="L10" s="46"/>
      <c r="M10" s="47"/>
      <c r="N10" s="48"/>
      <c r="O10" s="49" t="s">
        <v>127</v>
      </c>
      <c r="P10" s="48">
        <v>267300</v>
      </c>
      <c r="Q10" s="49"/>
      <c r="R10" s="45"/>
      <c r="S10" s="50"/>
      <c r="T10" s="51">
        <f t="shared" si="0"/>
        <v>14850</v>
      </c>
      <c r="U10" s="51">
        <f t="shared" si="1"/>
        <v>0</v>
      </c>
      <c r="V10" s="51">
        <f t="shared" si="2"/>
        <v>14850</v>
      </c>
    </row>
    <row r="11" spans="1:22" s="52" customFormat="1" ht="78" x14ac:dyDescent="0.2">
      <c r="A11" s="37">
        <v>241014</v>
      </c>
      <c r="B11" s="38" t="s">
        <v>128</v>
      </c>
      <c r="C11" s="39" t="s">
        <v>129</v>
      </c>
      <c r="D11" s="40" t="s">
        <v>117</v>
      </c>
      <c r="E11" s="41" t="s">
        <v>130</v>
      </c>
      <c r="F11" s="42">
        <v>24000</v>
      </c>
      <c r="G11" s="53" t="s">
        <v>110</v>
      </c>
      <c r="H11" s="44"/>
      <c r="I11" s="45">
        <v>1200</v>
      </c>
      <c r="J11" s="45">
        <v>21600</v>
      </c>
      <c r="K11" s="45">
        <v>1200</v>
      </c>
      <c r="L11" s="46"/>
      <c r="M11" s="47"/>
      <c r="N11" s="48"/>
      <c r="O11" s="49" t="s">
        <v>131</v>
      </c>
      <c r="P11" s="48">
        <v>21600</v>
      </c>
      <c r="Q11" s="49"/>
      <c r="R11" s="45"/>
      <c r="S11" s="50"/>
      <c r="T11" s="51">
        <f t="shared" si="0"/>
        <v>1200</v>
      </c>
      <c r="U11" s="51">
        <f t="shared" si="1"/>
        <v>0</v>
      </c>
      <c r="V11" s="51">
        <f t="shared" si="2"/>
        <v>1200</v>
      </c>
    </row>
    <row r="12" spans="1:22" s="52" customFormat="1" ht="39" x14ac:dyDescent="0.2">
      <c r="A12" s="37">
        <v>241018</v>
      </c>
      <c r="B12" s="38" t="s">
        <v>115</v>
      </c>
      <c r="C12" s="39" t="s">
        <v>132</v>
      </c>
      <c r="D12" s="40" t="s">
        <v>117</v>
      </c>
      <c r="E12" s="41" t="s">
        <v>133</v>
      </c>
      <c r="F12" s="42">
        <v>203000</v>
      </c>
      <c r="G12" s="43" t="s">
        <v>119</v>
      </c>
      <c r="H12" s="44"/>
      <c r="I12" s="45">
        <v>10150</v>
      </c>
      <c r="J12" s="45">
        <v>182700</v>
      </c>
      <c r="K12" s="45">
        <v>10150</v>
      </c>
      <c r="L12" s="46"/>
      <c r="M12" s="47"/>
      <c r="N12" s="48"/>
      <c r="O12" s="49" t="s">
        <v>134</v>
      </c>
      <c r="P12" s="48">
        <v>182700</v>
      </c>
      <c r="Q12" s="49"/>
      <c r="R12" s="45"/>
      <c r="S12" s="50"/>
      <c r="T12" s="51">
        <f t="shared" si="0"/>
        <v>10150</v>
      </c>
      <c r="U12" s="51">
        <f t="shared" si="1"/>
        <v>0</v>
      </c>
      <c r="V12" s="51">
        <f t="shared" si="2"/>
        <v>10150</v>
      </c>
    </row>
    <row r="13" spans="1:22" s="52" customFormat="1" ht="58.5" x14ac:dyDescent="0.2">
      <c r="A13" s="37">
        <v>241029</v>
      </c>
      <c r="B13" s="38" t="s">
        <v>115</v>
      </c>
      <c r="C13" s="39" t="s">
        <v>135</v>
      </c>
      <c r="D13" s="40" t="s">
        <v>117</v>
      </c>
      <c r="E13" s="41" t="s">
        <v>136</v>
      </c>
      <c r="F13" s="42">
        <v>404000</v>
      </c>
      <c r="G13" s="43" t="s">
        <v>119</v>
      </c>
      <c r="H13" s="44"/>
      <c r="I13" s="45">
        <v>20200</v>
      </c>
      <c r="J13" s="45">
        <v>363600</v>
      </c>
      <c r="K13" s="45">
        <v>20200</v>
      </c>
      <c r="L13" s="46"/>
      <c r="M13" s="47"/>
      <c r="N13" s="48"/>
      <c r="O13" s="49" t="s">
        <v>137</v>
      </c>
      <c r="P13" s="48">
        <v>363600</v>
      </c>
      <c r="Q13" s="49"/>
      <c r="R13" s="45"/>
      <c r="S13" s="50"/>
      <c r="T13" s="51">
        <f t="shared" si="0"/>
        <v>20200</v>
      </c>
      <c r="U13" s="51">
        <f t="shared" si="1"/>
        <v>0</v>
      </c>
      <c r="V13" s="51">
        <f t="shared" si="2"/>
        <v>20200</v>
      </c>
    </row>
    <row r="14" spans="1:22" s="52" customFormat="1" ht="58.5" x14ac:dyDescent="0.2">
      <c r="A14" s="37">
        <v>241030</v>
      </c>
      <c r="B14" s="38" t="s">
        <v>115</v>
      </c>
      <c r="C14" s="39" t="s">
        <v>138</v>
      </c>
      <c r="D14" s="40" t="s">
        <v>117</v>
      </c>
      <c r="E14" s="41" t="s">
        <v>139</v>
      </c>
      <c r="F14" s="42">
        <v>423500</v>
      </c>
      <c r="G14" s="43" t="s">
        <v>119</v>
      </c>
      <c r="H14" s="44"/>
      <c r="I14" s="45">
        <v>21175</v>
      </c>
      <c r="J14" s="45">
        <v>381150</v>
      </c>
      <c r="K14" s="45">
        <v>21175</v>
      </c>
      <c r="L14" s="46"/>
      <c r="M14" s="47"/>
      <c r="N14" s="48"/>
      <c r="O14" s="49" t="s">
        <v>140</v>
      </c>
      <c r="P14" s="48">
        <v>381150</v>
      </c>
      <c r="Q14" s="49"/>
      <c r="R14" s="45"/>
      <c r="S14" s="50"/>
      <c r="T14" s="51">
        <f t="shared" si="0"/>
        <v>21175</v>
      </c>
      <c r="U14" s="51">
        <f t="shared" si="1"/>
        <v>0</v>
      </c>
      <c r="V14" s="51">
        <f t="shared" si="2"/>
        <v>21175</v>
      </c>
    </row>
    <row r="15" spans="1:22" s="52" customFormat="1" ht="78" x14ac:dyDescent="0.2">
      <c r="A15" s="37">
        <v>241039</v>
      </c>
      <c r="B15" s="38" t="s">
        <v>115</v>
      </c>
      <c r="C15" s="39" t="s">
        <v>141</v>
      </c>
      <c r="D15" s="40" t="s">
        <v>117</v>
      </c>
      <c r="E15" s="41" t="s">
        <v>142</v>
      </c>
      <c r="F15" s="42">
        <v>487000</v>
      </c>
      <c r="G15" s="53" t="s">
        <v>110</v>
      </c>
      <c r="H15" s="44"/>
      <c r="I15" s="45">
        <v>24350</v>
      </c>
      <c r="J15" s="45">
        <v>438300</v>
      </c>
      <c r="K15" s="45">
        <v>24350</v>
      </c>
      <c r="L15" s="46"/>
      <c r="M15" s="47"/>
      <c r="N15" s="48"/>
      <c r="O15" s="49" t="s">
        <v>143</v>
      </c>
      <c r="P15" s="48">
        <v>438300</v>
      </c>
      <c r="Q15" s="49"/>
      <c r="R15" s="45"/>
      <c r="S15" s="50"/>
      <c r="T15" s="51">
        <f t="shared" si="0"/>
        <v>24350</v>
      </c>
      <c r="U15" s="51">
        <f t="shared" si="1"/>
        <v>0</v>
      </c>
      <c r="V15" s="51">
        <f t="shared" si="2"/>
        <v>24350</v>
      </c>
    </row>
    <row r="16" spans="1:22" s="52" customFormat="1" ht="39" x14ac:dyDescent="0.2">
      <c r="A16" s="37">
        <v>241051</v>
      </c>
      <c r="B16" s="38" t="s">
        <v>115</v>
      </c>
      <c r="C16" s="39" t="s">
        <v>144</v>
      </c>
      <c r="D16" s="40" t="s">
        <v>117</v>
      </c>
      <c r="E16" s="41" t="s">
        <v>145</v>
      </c>
      <c r="F16" s="42">
        <v>25000</v>
      </c>
      <c r="G16" s="53" t="s">
        <v>110</v>
      </c>
      <c r="H16" s="44"/>
      <c r="I16" s="45">
        <v>1250</v>
      </c>
      <c r="J16" s="45">
        <v>22500</v>
      </c>
      <c r="K16" s="45">
        <v>1250</v>
      </c>
      <c r="L16" s="46"/>
      <c r="M16" s="47"/>
      <c r="N16" s="48"/>
      <c r="O16" s="49" t="s">
        <v>146</v>
      </c>
      <c r="P16" s="48">
        <v>22500</v>
      </c>
      <c r="Q16" s="49"/>
      <c r="R16" s="45"/>
      <c r="S16" s="50"/>
      <c r="T16" s="51">
        <f t="shared" si="0"/>
        <v>1250</v>
      </c>
      <c r="U16" s="51">
        <f t="shared" si="1"/>
        <v>0</v>
      </c>
      <c r="V16" s="51">
        <f t="shared" si="2"/>
        <v>1250</v>
      </c>
    </row>
    <row r="17" spans="1:22" s="52" customFormat="1" ht="39" x14ac:dyDescent="0.2">
      <c r="A17" s="37">
        <v>241051</v>
      </c>
      <c r="B17" s="38" t="s">
        <v>115</v>
      </c>
      <c r="C17" s="39" t="s">
        <v>147</v>
      </c>
      <c r="D17" s="40" t="s">
        <v>117</v>
      </c>
      <c r="E17" s="41" t="s">
        <v>148</v>
      </c>
      <c r="F17" s="42">
        <v>143000</v>
      </c>
      <c r="G17" s="43" t="s">
        <v>119</v>
      </c>
      <c r="H17" s="44"/>
      <c r="I17" s="45">
        <v>7150</v>
      </c>
      <c r="J17" s="45">
        <v>128700</v>
      </c>
      <c r="K17" s="45">
        <v>7150</v>
      </c>
      <c r="L17" s="46"/>
      <c r="M17" s="47"/>
      <c r="N17" s="48"/>
      <c r="O17" s="49" t="s">
        <v>149</v>
      </c>
      <c r="P17" s="48">
        <v>128700</v>
      </c>
      <c r="Q17" s="49"/>
      <c r="R17" s="45"/>
      <c r="S17" s="50"/>
      <c r="T17" s="51">
        <f t="shared" si="0"/>
        <v>7150</v>
      </c>
      <c r="U17" s="51">
        <f t="shared" si="1"/>
        <v>0</v>
      </c>
      <c r="V17" s="51">
        <f t="shared" si="2"/>
        <v>7150</v>
      </c>
    </row>
    <row r="18" spans="1:22" s="52" customFormat="1" x14ac:dyDescent="0.2">
      <c r="A18" s="37">
        <v>241055</v>
      </c>
      <c r="B18" s="38" t="s">
        <v>150</v>
      </c>
      <c r="C18" s="39" t="s">
        <v>151</v>
      </c>
      <c r="D18" s="40" t="s">
        <v>152</v>
      </c>
      <c r="E18" s="41" t="s">
        <v>11</v>
      </c>
      <c r="F18" s="42">
        <v>5202.26</v>
      </c>
      <c r="G18" s="53" t="s">
        <v>110</v>
      </c>
      <c r="H18" s="44"/>
      <c r="I18" s="45">
        <v>5202.26</v>
      </c>
      <c r="J18" s="45">
        <v>0</v>
      </c>
      <c r="K18" s="45">
        <v>0</v>
      </c>
      <c r="L18" s="46"/>
      <c r="M18" s="47"/>
      <c r="N18" s="48"/>
      <c r="O18" s="49"/>
      <c r="P18" s="48"/>
      <c r="Q18" s="49"/>
      <c r="R18" s="45"/>
      <c r="S18" s="50"/>
      <c r="T18" s="51">
        <f t="shared" si="0"/>
        <v>5202.26</v>
      </c>
      <c r="U18" s="51">
        <f t="shared" si="1"/>
        <v>0</v>
      </c>
      <c r="V18" s="51">
        <f t="shared" si="2"/>
        <v>0</v>
      </c>
    </row>
    <row r="19" spans="1:22" s="52" customFormat="1" x14ac:dyDescent="0.2">
      <c r="A19" s="37">
        <v>241061</v>
      </c>
      <c r="B19" s="38" t="s">
        <v>153</v>
      </c>
      <c r="C19" s="39" t="s">
        <v>151</v>
      </c>
      <c r="D19" s="40" t="s">
        <v>152</v>
      </c>
      <c r="E19" s="41" t="s">
        <v>11</v>
      </c>
      <c r="F19" s="42">
        <v>18364.25</v>
      </c>
      <c r="G19" s="43" t="s">
        <v>119</v>
      </c>
      <c r="H19" s="44"/>
      <c r="I19" s="45">
        <v>18364.25</v>
      </c>
      <c r="J19" s="45">
        <v>0</v>
      </c>
      <c r="K19" s="45">
        <v>0</v>
      </c>
      <c r="L19" s="46"/>
      <c r="M19" s="47"/>
      <c r="N19" s="48"/>
      <c r="O19" s="49"/>
      <c r="P19" s="48"/>
      <c r="Q19" s="49"/>
      <c r="R19" s="45"/>
      <c r="S19" s="50"/>
      <c r="T19" s="51">
        <f t="shared" si="0"/>
        <v>18364.25</v>
      </c>
      <c r="U19" s="51">
        <f t="shared" si="1"/>
        <v>0</v>
      </c>
      <c r="V19" s="51">
        <f t="shared" si="2"/>
        <v>0</v>
      </c>
    </row>
    <row r="20" spans="1:22" s="52" customFormat="1" ht="58.5" x14ac:dyDescent="0.2">
      <c r="A20" s="37">
        <v>241077</v>
      </c>
      <c r="B20" s="38" t="s">
        <v>154</v>
      </c>
      <c r="C20" s="39" t="s">
        <v>155</v>
      </c>
      <c r="D20" s="40" t="s">
        <v>156</v>
      </c>
      <c r="E20" s="41" t="s">
        <v>157</v>
      </c>
      <c r="F20" s="42">
        <v>60000</v>
      </c>
      <c r="G20" s="43" t="s">
        <v>119</v>
      </c>
      <c r="H20" s="44"/>
      <c r="I20" s="45">
        <v>3000</v>
      </c>
      <c r="J20" s="45">
        <v>54000</v>
      </c>
      <c r="K20" s="45">
        <v>3000</v>
      </c>
      <c r="L20" s="46"/>
      <c r="M20" s="47"/>
      <c r="N20" s="48"/>
      <c r="O20" s="49" t="s">
        <v>158</v>
      </c>
      <c r="P20" s="48">
        <v>54000</v>
      </c>
      <c r="Q20" s="49"/>
      <c r="R20" s="45"/>
      <c r="S20" s="50"/>
      <c r="T20" s="51">
        <f t="shared" si="0"/>
        <v>3000</v>
      </c>
      <c r="U20" s="51">
        <f t="shared" si="1"/>
        <v>0</v>
      </c>
      <c r="V20" s="51">
        <f t="shared" si="2"/>
        <v>3000</v>
      </c>
    </row>
    <row r="21" spans="1:22" s="52" customFormat="1" ht="39" x14ac:dyDescent="0.2">
      <c r="A21" s="37">
        <v>241081</v>
      </c>
      <c r="B21" s="38" t="s">
        <v>159</v>
      </c>
      <c r="C21" s="39" t="s">
        <v>160</v>
      </c>
      <c r="D21" s="40" t="s">
        <v>161</v>
      </c>
      <c r="E21" s="41" t="s">
        <v>162</v>
      </c>
      <c r="F21" s="42">
        <v>578550</v>
      </c>
      <c r="G21" s="43" t="s">
        <v>119</v>
      </c>
      <c r="H21" s="44"/>
      <c r="I21" s="45">
        <v>4000</v>
      </c>
      <c r="J21" s="45">
        <v>570550</v>
      </c>
      <c r="K21" s="45">
        <v>4000</v>
      </c>
      <c r="L21" s="46"/>
      <c r="M21" s="47"/>
      <c r="N21" s="48"/>
      <c r="O21" s="49" t="s">
        <v>163</v>
      </c>
      <c r="P21" s="48">
        <v>570550</v>
      </c>
      <c r="Q21" s="49"/>
      <c r="R21" s="45"/>
      <c r="S21" s="50"/>
      <c r="T21" s="51">
        <f t="shared" si="0"/>
        <v>4000</v>
      </c>
      <c r="U21" s="51">
        <f t="shared" si="1"/>
        <v>0</v>
      </c>
      <c r="V21" s="51">
        <f t="shared" si="2"/>
        <v>4000</v>
      </c>
    </row>
    <row r="22" spans="1:22" s="52" customFormat="1" ht="39" x14ac:dyDescent="0.2">
      <c r="A22" s="37">
        <v>241085</v>
      </c>
      <c r="B22" s="38" t="s">
        <v>115</v>
      </c>
      <c r="C22" s="39" t="s">
        <v>164</v>
      </c>
      <c r="D22" s="40" t="s">
        <v>117</v>
      </c>
      <c r="E22" s="41" t="s">
        <v>165</v>
      </c>
      <c r="F22" s="42">
        <v>64000</v>
      </c>
      <c r="G22" s="43" t="s">
        <v>119</v>
      </c>
      <c r="H22" s="44"/>
      <c r="I22" s="45">
        <v>3200</v>
      </c>
      <c r="J22" s="45">
        <v>57600</v>
      </c>
      <c r="K22" s="45">
        <v>3200</v>
      </c>
      <c r="L22" s="46"/>
      <c r="M22" s="47"/>
      <c r="N22" s="48"/>
      <c r="O22" s="49" t="s">
        <v>166</v>
      </c>
      <c r="P22" s="48">
        <v>57600</v>
      </c>
      <c r="Q22" s="49"/>
      <c r="R22" s="45"/>
      <c r="S22" s="50"/>
      <c r="T22" s="51">
        <f t="shared" si="0"/>
        <v>3200</v>
      </c>
      <c r="U22" s="51">
        <f t="shared" si="1"/>
        <v>0</v>
      </c>
      <c r="V22" s="51">
        <f t="shared" si="2"/>
        <v>3200</v>
      </c>
    </row>
    <row r="23" spans="1:22" s="52" customFormat="1" ht="39" x14ac:dyDescent="0.2">
      <c r="A23" s="37">
        <v>241115</v>
      </c>
      <c r="B23" s="38" t="s">
        <v>115</v>
      </c>
      <c r="C23" s="39" t="s">
        <v>167</v>
      </c>
      <c r="D23" s="40" t="s">
        <v>117</v>
      </c>
      <c r="E23" s="41" t="s">
        <v>168</v>
      </c>
      <c r="F23" s="42">
        <v>20000</v>
      </c>
      <c r="G23" s="53" t="s">
        <v>110</v>
      </c>
      <c r="H23" s="44"/>
      <c r="I23" s="45">
        <v>1000</v>
      </c>
      <c r="J23" s="45">
        <v>18000</v>
      </c>
      <c r="K23" s="45">
        <v>1000</v>
      </c>
      <c r="L23" s="46"/>
      <c r="M23" s="47"/>
      <c r="N23" s="48"/>
      <c r="O23" s="49" t="s">
        <v>169</v>
      </c>
      <c r="P23" s="48">
        <v>18000</v>
      </c>
      <c r="Q23" s="49"/>
      <c r="R23" s="45"/>
      <c r="S23" s="50"/>
      <c r="T23" s="51">
        <f t="shared" si="0"/>
        <v>1000</v>
      </c>
      <c r="U23" s="51">
        <f t="shared" si="1"/>
        <v>0</v>
      </c>
      <c r="V23" s="51">
        <f t="shared" si="2"/>
        <v>1000</v>
      </c>
    </row>
    <row r="24" spans="1:22" s="52" customFormat="1" ht="39" x14ac:dyDescent="0.2">
      <c r="A24" s="37">
        <v>241115</v>
      </c>
      <c r="B24" s="38" t="s">
        <v>170</v>
      </c>
      <c r="C24" s="39" t="s">
        <v>171</v>
      </c>
      <c r="D24" s="40" t="s">
        <v>22</v>
      </c>
      <c r="E24" s="41" t="s">
        <v>172</v>
      </c>
      <c r="F24" s="42">
        <v>236075</v>
      </c>
      <c r="G24" s="53" t="s">
        <v>173</v>
      </c>
      <c r="H24" s="44"/>
      <c r="I24" s="45">
        <v>0</v>
      </c>
      <c r="J24" s="45">
        <v>236075</v>
      </c>
      <c r="K24" s="45">
        <v>0</v>
      </c>
      <c r="L24" s="46"/>
      <c r="M24" s="47"/>
      <c r="N24" s="48"/>
      <c r="O24" s="49" t="s">
        <v>174</v>
      </c>
      <c r="P24" s="48">
        <v>236075</v>
      </c>
      <c r="Q24" s="49"/>
      <c r="R24" s="45"/>
      <c r="S24" s="50"/>
      <c r="T24" s="51">
        <f t="shared" si="0"/>
        <v>0</v>
      </c>
      <c r="U24" s="51">
        <f t="shared" si="1"/>
        <v>0</v>
      </c>
      <c r="V24" s="51">
        <f t="shared" si="2"/>
        <v>0</v>
      </c>
    </row>
    <row r="25" spans="1:22" s="52" customFormat="1" ht="39" x14ac:dyDescent="0.2">
      <c r="A25" s="37">
        <v>241135</v>
      </c>
      <c r="B25" s="38" t="s">
        <v>115</v>
      </c>
      <c r="C25" s="39" t="s">
        <v>175</v>
      </c>
      <c r="D25" s="40" t="s">
        <v>117</v>
      </c>
      <c r="E25" s="41" t="s">
        <v>176</v>
      </c>
      <c r="F25" s="42">
        <v>20000</v>
      </c>
      <c r="G25" s="43" t="s">
        <v>119</v>
      </c>
      <c r="H25" s="44"/>
      <c r="I25" s="45">
        <v>1000</v>
      </c>
      <c r="J25" s="45">
        <v>18000</v>
      </c>
      <c r="K25" s="45">
        <v>1000</v>
      </c>
      <c r="L25" s="46"/>
      <c r="M25" s="47"/>
      <c r="N25" s="48"/>
      <c r="O25" s="49" t="s">
        <v>177</v>
      </c>
      <c r="P25" s="48">
        <v>18000</v>
      </c>
      <c r="Q25" s="49"/>
      <c r="R25" s="45"/>
      <c r="S25" s="50"/>
      <c r="T25" s="51">
        <f t="shared" si="0"/>
        <v>1000</v>
      </c>
      <c r="U25" s="51">
        <f t="shared" si="1"/>
        <v>0</v>
      </c>
      <c r="V25" s="51">
        <f t="shared" si="2"/>
        <v>1000</v>
      </c>
    </row>
    <row r="26" spans="1:22" s="52" customFormat="1" ht="39" x14ac:dyDescent="0.2">
      <c r="A26" s="37">
        <v>241148</v>
      </c>
      <c r="B26" s="38" t="s">
        <v>159</v>
      </c>
      <c r="C26" s="39" t="s">
        <v>178</v>
      </c>
      <c r="D26" s="40" t="s">
        <v>161</v>
      </c>
      <c r="E26" s="41" t="s">
        <v>179</v>
      </c>
      <c r="F26" s="42">
        <v>578550</v>
      </c>
      <c r="G26" s="43" t="s">
        <v>119</v>
      </c>
      <c r="H26" s="44"/>
      <c r="I26" s="45">
        <v>0</v>
      </c>
      <c r="J26" s="45">
        <v>578550</v>
      </c>
      <c r="K26" s="45">
        <v>0</v>
      </c>
      <c r="L26" s="46"/>
      <c r="M26" s="47"/>
      <c r="N26" s="48"/>
      <c r="O26" s="49" t="s">
        <v>180</v>
      </c>
      <c r="P26" s="48">
        <v>578550</v>
      </c>
      <c r="Q26" s="49"/>
      <c r="R26" s="45"/>
      <c r="S26" s="50"/>
      <c r="T26" s="51">
        <f t="shared" si="0"/>
        <v>0</v>
      </c>
      <c r="U26" s="51">
        <f t="shared" si="1"/>
        <v>0</v>
      </c>
      <c r="V26" s="51">
        <f t="shared" si="2"/>
        <v>0</v>
      </c>
    </row>
    <row r="27" spans="1:22" s="52" customFormat="1" ht="78" x14ac:dyDescent="0.2">
      <c r="A27" s="37">
        <v>241149</v>
      </c>
      <c r="B27" s="38" t="s">
        <v>181</v>
      </c>
      <c r="C27" s="39" t="s">
        <v>182</v>
      </c>
      <c r="D27" s="40" t="s">
        <v>183</v>
      </c>
      <c r="E27" s="41" t="s">
        <v>184</v>
      </c>
      <c r="F27" s="42">
        <v>76000</v>
      </c>
      <c r="G27" s="43" t="s">
        <v>119</v>
      </c>
      <c r="H27" s="44"/>
      <c r="I27" s="45">
        <v>38000</v>
      </c>
      <c r="J27" s="45">
        <v>0</v>
      </c>
      <c r="K27" s="45">
        <v>38000</v>
      </c>
      <c r="L27" s="46"/>
      <c r="M27" s="47"/>
      <c r="N27" s="48"/>
      <c r="O27" s="49"/>
      <c r="P27" s="48"/>
      <c r="Q27" s="49"/>
      <c r="R27" s="45"/>
      <c r="S27" s="50"/>
      <c r="T27" s="51">
        <f t="shared" si="0"/>
        <v>38000</v>
      </c>
      <c r="U27" s="51">
        <f t="shared" si="1"/>
        <v>0</v>
      </c>
      <c r="V27" s="51">
        <f t="shared" si="2"/>
        <v>38000</v>
      </c>
    </row>
    <row r="28" spans="1:22" s="52" customFormat="1" ht="58.5" x14ac:dyDescent="0.2">
      <c r="A28" s="37">
        <v>241159</v>
      </c>
      <c r="B28" s="38" t="s">
        <v>185</v>
      </c>
      <c r="C28" s="39" t="s">
        <v>186</v>
      </c>
      <c r="D28" s="40" t="s">
        <v>19</v>
      </c>
      <c r="E28" s="41" t="s">
        <v>187</v>
      </c>
      <c r="F28" s="42">
        <v>900000</v>
      </c>
      <c r="G28" s="53" t="s">
        <v>110</v>
      </c>
      <c r="H28" s="44"/>
      <c r="I28" s="45">
        <v>45000</v>
      </c>
      <c r="J28" s="45">
        <v>810000</v>
      </c>
      <c r="K28" s="45">
        <v>45000</v>
      </c>
      <c r="L28" s="46"/>
      <c r="M28" s="47"/>
      <c r="N28" s="48"/>
      <c r="O28" s="49" t="s">
        <v>188</v>
      </c>
      <c r="P28" s="48">
        <v>810000</v>
      </c>
      <c r="Q28" s="49"/>
      <c r="R28" s="45"/>
      <c r="S28" s="50"/>
      <c r="T28" s="51">
        <f t="shared" si="0"/>
        <v>45000</v>
      </c>
      <c r="U28" s="51">
        <f t="shared" si="1"/>
        <v>0</v>
      </c>
      <c r="V28" s="51">
        <f t="shared" si="2"/>
        <v>45000</v>
      </c>
    </row>
    <row r="29" spans="1:22" s="52" customFormat="1" ht="78" x14ac:dyDescent="0.2">
      <c r="A29" s="37">
        <v>241162</v>
      </c>
      <c r="B29" s="38" t="s">
        <v>185</v>
      </c>
      <c r="C29" s="39" t="s">
        <v>189</v>
      </c>
      <c r="D29" s="40" t="s">
        <v>19</v>
      </c>
      <c r="E29" s="41" t="s">
        <v>190</v>
      </c>
      <c r="F29" s="42">
        <v>342000</v>
      </c>
      <c r="G29" s="43" t="s">
        <v>119</v>
      </c>
      <c r="H29" s="44"/>
      <c r="I29" s="45">
        <v>17100</v>
      </c>
      <c r="J29" s="45">
        <v>307800</v>
      </c>
      <c r="K29" s="45">
        <v>17100</v>
      </c>
      <c r="L29" s="46"/>
      <c r="M29" s="47"/>
      <c r="N29" s="48"/>
      <c r="O29" s="49" t="s">
        <v>191</v>
      </c>
      <c r="P29" s="48">
        <v>307800</v>
      </c>
      <c r="Q29" s="49"/>
      <c r="R29" s="45"/>
      <c r="S29" s="50"/>
      <c r="T29" s="51">
        <f t="shared" si="0"/>
        <v>17100</v>
      </c>
      <c r="U29" s="51">
        <f t="shared" si="1"/>
        <v>0</v>
      </c>
      <c r="V29" s="51">
        <f t="shared" si="2"/>
        <v>17100</v>
      </c>
    </row>
    <row r="30" spans="1:22" s="52" customFormat="1" ht="97.5" x14ac:dyDescent="0.2">
      <c r="A30" s="37">
        <v>241163</v>
      </c>
      <c r="B30" s="38" t="s">
        <v>192</v>
      </c>
      <c r="C30" s="39" t="s">
        <v>193</v>
      </c>
      <c r="D30" s="40" t="s">
        <v>22</v>
      </c>
      <c r="E30" s="41" t="s">
        <v>194</v>
      </c>
      <c r="F30" s="42">
        <v>490000</v>
      </c>
      <c r="G30" s="53" t="s">
        <v>110</v>
      </c>
      <c r="H30" s="44"/>
      <c r="I30" s="45">
        <v>24500</v>
      </c>
      <c r="J30" s="45">
        <v>441000</v>
      </c>
      <c r="K30" s="45">
        <v>24500</v>
      </c>
      <c r="L30" s="46"/>
      <c r="M30" s="47"/>
      <c r="N30" s="48"/>
      <c r="O30" s="49" t="s">
        <v>195</v>
      </c>
      <c r="P30" s="48">
        <v>220500</v>
      </c>
      <c r="Q30" s="49"/>
      <c r="R30" s="45"/>
      <c r="S30" s="50"/>
      <c r="T30" s="51">
        <f t="shared" si="0"/>
        <v>24500</v>
      </c>
      <c r="U30" s="51">
        <f t="shared" si="1"/>
        <v>220500</v>
      </c>
      <c r="V30" s="51">
        <f t="shared" si="2"/>
        <v>24500</v>
      </c>
    </row>
    <row r="31" spans="1:22" s="52" customFormat="1" ht="39" x14ac:dyDescent="0.2">
      <c r="A31" s="37">
        <v>241178</v>
      </c>
      <c r="B31" s="38" t="s">
        <v>115</v>
      </c>
      <c r="C31" s="39" t="s">
        <v>196</v>
      </c>
      <c r="D31" s="40" t="s">
        <v>117</v>
      </c>
      <c r="E31" s="41" t="s">
        <v>197</v>
      </c>
      <c r="F31" s="42">
        <v>20000</v>
      </c>
      <c r="G31" s="43" t="s">
        <v>119</v>
      </c>
      <c r="H31" s="44"/>
      <c r="I31" s="45">
        <v>1000</v>
      </c>
      <c r="J31" s="45">
        <v>18000</v>
      </c>
      <c r="K31" s="45">
        <v>1000</v>
      </c>
      <c r="L31" s="46"/>
      <c r="M31" s="47"/>
      <c r="N31" s="48"/>
      <c r="O31" s="49" t="s">
        <v>198</v>
      </c>
      <c r="P31" s="48">
        <v>18000</v>
      </c>
      <c r="Q31" s="49"/>
      <c r="R31" s="45"/>
      <c r="S31" s="50"/>
      <c r="T31" s="51">
        <f t="shared" si="0"/>
        <v>1000</v>
      </c>
      <c r="U31" s="51">
        <f t="shared" si="1"/>
        <v>0</v>
      </c>
      <c r="V31" s="51">
        <f t="shared" si="2"/>
        <v>1000</v>
      </c>
    </row>
    <row r="32" spans="1:22" s="69" customFormat="1" ht="182.25" x14ac:dyDescent="0.2">
      <c r="A32" s="54">
        <v>241201</v>
      </c>
      <c r="B32" s="55" t="s">
        <v>199</v>
      </c>
      <c r="C32" s="56" t="s">
        <v>200</v>
      </c>
      <c r="D32" s="57" t="s">
        <v>19</v>
      </c>
      <c r="E32" s="58" t="s">
        <v>201</v>
      </c>
      <c r="F32" s="59">
        <v>10000</v>
      </c>
      <c r="G32" s="60" t="s">
        <v>202</v>
      </c>
      <c r="H32" s="61"/>
      <c r="I32" s="62">
        <v>5000</v>
      </c>
      <c r="J32" s="62">
        <v>0</v>
      </c>
      <c r="K32" s="62">
        <v>5000</v>
      </c>
      <c r="L32" s="63"/>
      <c r="M32" s="64"/>
      <c r="N32" s="65"/>
      <c r="O32" s="66"/>
      <c r="P32" s="65"/>
      <c r="Q32" s="66"/>
      <c r="R32" s="62"/>
      <c r="S32" s="67"/>
      <c r="T32" s="68">
        <f t="shared" si="0"/>
        <v>5000</v>
      </c>
      <c r="U32" s="68"/>
      <c r="V32" s="68">
        <f t="shared" si="2"/>
        <v>5000</v>
      </c>
    </row>
    <row r="33" spans="1:22" s="52" customFormat="1" ht="39" x14ac:dyDescent="0.2">
      <c r="A33" s="37">
        <v>241207</v>
      </c>
      <c r="B33" s="38" t="s">
        <v>121</v>
      </c>
      <c r="C33" s="39" t="s">
        <v>203</v>
      </c>
      <c r="D33" s="40" t="s">
        <v>108</v>
      </c>
      <c r="E33" s="41" t="s">
        <v>204</v>
      </c>
      <c r="F33" s="42">
        <v>580000</v>
      </c>
      <c r="G33" s="53" t="s">
        <v>110</v>
      </c>
      <c r="H33" s="44"/>
      <c r="I33" s="45">
        <v>29000</v>
      </c>
      <c r="J33" s="45">
        <v>522000</v>
      </c>
      <c r="K33" s="45">
        <v>29000</v>
      </c>
      <c r="L33" s="46"/>
      <c r="M33" s="47"/>
      <c r="N33" s="48"/>
      <c r="O33" s="49" t="s">
        <v>205</v>
      </c>
      <c r="P33" s="48">
        <v>522000</v>
      </c>
      <c r="Q33" s="49"/>
      <c r="R33" s="45"/>
      <c r="S33" s="50"/>
      <c r="T33" s="51">
        <f t="shared" si="0"/>
        <v>29000</v>
      </c>
      <c r="U33" s="51">
        <f t="shared" si="1"/>
        <v>0</v>
      </c>
      <c r="V33" s="51">
        <f t="shared" si="2"/>
        <v>29000</v>
      </c>
    </row>
    <row r="34" spans="1:22" s="52" customFormat="1" ht="39" x14ac:dyDescent="0.2">
      <c r="A34" s="37">
        <v>241222</v>
      </c>
      <c r="B34" s="38" t="s">
        <v>115</v>
      </c>
      <c r="C34" s="39" t="s">
        <v>206</v>
      </c>
      <c r="D34" s="40" t="s">
        <v>117</v>
      </c>
      <c r="E34" s="41" t="s">
        <v>207</v>
      </c>
      <c r="F34" s="42">
        <v>10000</v>
      </c>
      <c r="G34" s="43" t="s">
        <v>119</v>
      </c>
      <c r="H34" s="44"/>
      <c r="I34" s="45">
        <v>500</v>
      </c>
      <c r="J34" s="45">
        <v>9000</v>
      </c>
      <c r="K34" s="45">
        <v>500</v>
      </c>
      <c r="L34" s="46"/>
      <c r="M34" s="47"/>
      <c r="N34" s="48"/>
      <c r="O34" s="49" t="s">
        <v>208</v>
      </c>
      <c r="P34" s="48">
        <v>9000</v>
      </c>
      <c r="Q34" s="49"/>
      <c r="R34" s="45"/>
      <c r="S34" s="50"/>
      <c r="T34" s="51">
        <f t="shared" si="0"/>
        <v>500</v>
      </c>
      <c r="U34" s="51">
        <f t="shared" si="1"/>
        <v>0</v>
      </c>
      <c r="V34" s="51">
        <f t="shared" si="2"/>
        <v>500</v>
      </c>
    </row>
    <row r="35" spans="1:22" s="52" customFormat="1" ht="39" x14ac:dyDescent="0.2">
      <c r="A35" s="37">
        <v>241235</v>
      </c>
      <c r="B35" s="38" t="s">
        <v>209</v>
      </c>
      <c r="C35" s="39" t="s">
        <v>210</v>
      </c>
      <c r="D35" s="40" t="s">
        <v>22</v>
      </c>
      <c r="E35" s="41" t="s">
        <v>211</v>
      </c>
      <c r="F35" s="42">
        <v>62280</v>
      </c>
      <c r="G35" s="43" t="s">
        <v>212</v>
      </c>
      <c r="H35" s="44"/>
      <c r="I35" s="45">
        <v>0</v>
      </c>
      <c r="J35" s="45">
        <v>62280</v>
      </c>
      <c r="K35" s="45">
        <v>0</v>
      </c>
      <c r="L35" s="46"/>
      <c r="M35" s="47"/>
      <c r="N35" s="48"/>
      <c r="O35" s="49" t="s">
        <v>213</v>
      </c>
      <c r="P35" s="48">
        <v>62280</v>
      </c>
      <c r="Q35" s="49"/>
      <c r="R35" s="45"/>
      <c r="S35" s="50"/>
      <c r="T35" s="51">
        <f t="shared" si="0"/>
        <v>0</v>
      </c>
      <c r="U35" s="51">
        <f t="shared" si="1"/>
        <v>0</v>
      </c>
      <c r="V35" s="51">
        <f t="shared" si="2"/>
        <v>0</v>
      </c>
    </row>
    <row r="36" spans="1:22" s="52" customFormat="1" ht="39" x14ac:dyDescent="0.2">
      <c r="A36" s="37">
        <v>241241</v>
      </c>
      <c r="B36" s="38" t="s">
        <v>214</v>
      </c>
      <c r="C36" s="39" t="s">
        <v>215</v>
      </c>
      <c r="D36" s="40" t="s">
        <v>22</v>
      </c>
      <c r="E36" s="41" t="s">
        <v>216</v>
      </c>
      <c r="F36" s="42">
        <v>91000</v>
      </c>
      <c r="G36" s="43" t="s">
        <v>212</v>
      </c>
      <c r="H36" s="44"/>
      <c r="I36" s="45">
        <v>0</v>
      </c>
      <c r="J36" s="45">
        <v>91000</v>
      </c>
      <c r="K36" s="45">
        <v>0</v>
      </c>
      <c r="L36" s="46"/>
      <c r="M36" s="47"/>
      <c r="N36" s="48"/>
      <c r="O36" s="49" t="s">
        <v>217</v>
      </c>
      <c r="P36" s="48">
        <v>91000</v>
      </c>
      <c r="Q36" s="49"/>
      <c r="R36" s="45"/>
      <c r="S36" s="50"/>
      <c r="T36" s="51">
        <f t="shared" si="0"/>
        <v>0</v>
      </c>
      <c r="U36" s="51">
        <f t="shared" si="1"/>
        <v>0</v>
      </c>
      <c r="V36" s="51">
        <f t="shared" si="2"/>
        <v>0</v>
      </c>
    </row>
    <row r="37" spans="1:22" s="52" customFormat="1" ht="58.5" x14ac:dyDescent="0.2">
      <c r="A37" s="37">
        <v>241268</v>
      </c>
      <c r="B37" s="38" t="s">
        <v>111</v>
      </c>
      <c r="C37" s="39" t="s">
        <v>218</v>
      </c>
      <c r="D37" s="40" t="s">
        <v>19</v>
      </c>
      <c r="E37" s="41" t="s">
        <v>219</v>
      </c>
      <c r="F37" s="42">
        <v>1750000</v>
      </c>
      <c r="G37" s="53" t="s">
        <v>110</v>
      </c>
      <c r="H37" s="44"/>
      <c r="I37" s="45">
        <v>87500</v>
      </c>
      <c r="J37" s="45">
        <v>1575000</v>
      </c>
      <c r="K37" s="45">
        <v>87500</v>
      </c>
      <c r="L37" s="46"/>
      <c r="M37" s="47"/>
      <c r="N37" s="48"/>
      <c r="O37" s="49" t="s">
        <v>220</v>
      </c>
      <c r="P37" s="48">
        <v>1575000</v>
      </c>
      <c r="Q37" s="49"/>
      <c r="R37" s="45"/>
      <c r="S37" s="50"/>
      <c r="T37" s="51">
        <f t="shared" si="0"/>
        <v>87500</v>
      </c>
      <c r="U37" s="51">
        <f t="shared" si="1"/>
        <v>0</v>
      </c>
      <c r="V37" s="51">
        <f t="shared" si="2"/>
        <v>87500</v>
      </c>
    </row>
    <row r="38" spans="1:22" s="52" customFormat="1" ht="78" x14ac:dyDescent="0.2">
      <c r="A38" s="37">
        <v>241269</v>
      </c>
      <c r="B38" s="38" t="s">
        <v>221</v>
      </c>
      <c r="C38" s="39" t="s">
        <v>222</v>
      </c>
      <c r="D38" s="40" t="s">
        <v>19</v>
      </c>
      <c r="E38" s="41" t="s">
        <v>223</v>
      </c>
      <c r="F38" s="42">
        <v>57000</v>
      </c>
      <c r="G38" s="43" t="s">
        <v>119</v>
      </c>
      <c r="H38" s="44"/>
      <c r="I38" s="45">
        <v>2850</v>
      </c>
      <c r="J38" s="45">
        <v>51300</v>
      </c>
      <c r="K38" s="45">
        <v>2850</v>
      </c>
      <c r="L38" s="46"/>
      <c r="M38" s="47"/>
      <c r="N38" s="48"/>
      <c r="O38" s="49"/>
      <c r="P38" s="48"/>
      <c r="Q38" s="49"/>
      <c r="R38" s="45"/>
      <c r="S38" s="50"/>
      <c r="T38" s="51">
        <f t="shared" si="0"/>
        <v>2850</v>
      </c>
      <c r="U38" s="51">
        <f t="shared" si="1"/>
        <v>51300</v>
      </c>
      <c r="V38" s="51">
        <f t="shared" si="2"/>
        <v>2850</v>
      </c>
    </row>
    <row r="39" spans="1:22" s="109" customFormat="1" ht="78" x14ac:dyDescent="0.2">
      <c r="A39" s="95">
        <v>241277</v>
      </c>
      <c r="B39" s="95" t="s">
        <v>185</v>
      </c>
      <c r="C39" s="96" t="s">
        <v>224</v>
      </c>
      <c r="D39" s="97" t="s">
        <v>19</v>
      </c>
      <c r="E39" s="98" t="s">
        <v>225</v>
      </c>
      <c r="F39" s="99">
        <v>570000</v>
      </c>
      <c r="G39" s="100" t="s">
        <v>119</v>
      </c>
      <c r="H39" s="101"/>
      <c r="I39" s="102">
        <v>28500</v>
      </c>
      <c r="J39" s="102">
        <v>513000</v>
      </c>
      <c r="K39" s="102">
        <v>28500</v>
      </c>
      <c r="L39" s="103"/>
      <c r="M39" s="104"/>
      <c r="N39" s="105"/>
      <c r="O39" s="106" t="s">
        <v>226</v>
      </c>
      <c r="P39" s="105">
        <v>513000</v>
      </c>
      <c r="Q39" s="106"/>
      <c r="R39" s="102"/>
      <c r="S39" s="107"/>
      <c r="T39" s="108">
        <f>+I39-N39</f>
        <v>28500</v>
      </c>
      <c r="U39" s="108">
        <f>+J39-P39</f>
        <v>0</v>
      </c>
      <c r="V39" s="108">
        <f>+K39-R39</f>
        <v>28500</v>
      </c>
    </row>
    <row r="40" spans="1:22" s="109" customFormat="1" ht="39" x14ac:dyDescent="0.2">
      <c r="A40" s="95">
        <v>241296</v>
      </c>
      <c r="B40" s="95" t="s">
        <v>159</v>
      </c>
      <c r="C40" s="96" t="s">
        <v>227</v>
      </c>
      <c r="D40" s="97" t="s">
        <v>161</v>
      </c>
      <c r="E40" s="98" t="s">
        <v>228</v>
      </c>
      <c r="F40" s="99">
        <v>771400</v>
      </c>
      <c r="G40" s="100" t="s">
        <v>119</v>
      </c>
      <c r="H40" s="101"/>
      <c r="I40" s="102">
        <v>0</v>
      </c>
      <c r="J40" s="102">
        <v>771400</v>
      </c>
      <c r="K40" s="102">
        <v>0</v>
      </c>
      <c r="L40" s="103"/>
      <c r="M40" s="104"/>
      <c r="N40" s="105"/>
      <c r="O40" s="106" t="s">
        <v>229</v>
      </c>
      <c r="P40" s="105">
        <v>771400</v>
      </c>
      <c r="Q40" s="106"/>
      <c r="R40" s="102"/>
      <c r="S40" s="107"/>
      <c r="T40" s="108">
        <f>+I40-N40</f>
        <v>0</v>
      </c>
      <c r="U40" s="108">
        <f>+J40-P40</f>
        <v>0</v>
      </c>
      <c r="V40" s="108">
        <f>+K40-R40</f>
        <v>0</v>
      </c>
    </row>
    <row r="41" spans="1:22" s="109" customFormat="1" ht="78" x14ac:dyDescent="0.2">
      <c r="A41" s="95">
        <v>241331</v>
      </c>
      <c r="B41" s="95" t="s">
        <v>121</v>
      </c>
      <c r="C41" s="96" t="s">
        <v>230</v>
      </c>
      <c r="D41" s="97" t="s">
        <v>108</v>
      </c>
      <c r="E41" s="98" t="s">
        <v>231</v>
      </c>
      <c r="F41" s="99">
        <v>464000</v>
      </c>
      <c r="G41" s="100" t="s">
        <v>119</v>
      </c>
      <c r="H41" s="101"/>
      <c r="I41" s="102">
        <v>23200</v>
      </c>
      <c r="J41" s="102">
        <v>417600</v>
      </c>
      <c r="K41" s="102">
        <v>23200</v>
      </c>
      <c r="L41" s="103"/>
      <c r="M41" s="104"/>
      <c r="N41" s="105"/>
      <c r="O41" s="106" t="s">
        <v>232</v>
      </c>
      <c r="P41" s="105">
        <v>417600</v>
      </c>
      <c r="Q41" s="106"/>
      <c r="R41" s="102"/>
      <c r="S41" s="107"/>
      <c r="T41" s="108">
        <f>+I41-N41</f>
        <v>23200</v>
      </c>
      <c r="U41" s="108">
        <f>+J41-P41</f>
        <v>0</v>
      </c>
      <c r="V41" s="108">
        <f>+K41-R41</f>
        <v>23200</v>
      </c>
    </row>
    <row r="42" spans="1:22" s="109" customFormat="1" ht="39" x14ac:dyDescent="0.2">
      <c r="A42" s="95">
        <v>241331</v>
      </c>
      <c r="B42" s="95" t="s">
        <v>170</v>
      </c>
      <c r="C42" s="96" t="s">
        <v>233</v>
      </c>
      <c r="D42" s="97" t="s">
        <v>22</v>
      </c>
      <c r="E42" s="98" t="s">
        <v>234</v>
      </c>
      <c r="F42" s="99">
        <v>113430</v>
      </c>
      <c r="G42" s="110" t="s">
        <v>173</v>
      </c>
      <c r="H42" s="101"/>
      <c r="I42" s="102">
        <v>0</v>
      </c>
      <c r="J42" s="102">
        <v>113430</v>
      </c>
      <c r="K42" s="102">
        <v>0</v>
      </c>
      <c r="L42" s="103"/>
      <c r="M42" s="104"/>
      <c r="N42" s="105"/>
      <c r="O42" s="106" t="s">
        <v>235</v>
      </c>
      <c r="P42" s="105">
        <v>113430</v>
      </c>
      <c r="Q42" s="106"/>
      <c r="R42" s="102"/>
      <c r="S42" s="107"/>
      <c r="T42" s="108">
        <f>+I42-N42</f>
        <v>0</v>
      </c>
      <c r="U42" s="108">
        <f>+J42-P42</f>
        <v>0</v>
      </c>
      <c r="V42" s="108">
        <f>+K42-R42</f>
        <v>0</v>
      </c>
    </row>
    <row r="43" spans="1:22" s="109" customFormat="1" ht="97.5" x14ac:dyDescent="0.2">
      <c r="A43" s="95">
        <v>241331</v>
      </c>
      <c r="B43" s="95" t="s">
        <v>192</v>
      </c>
      <c r="C43" s="96" t="s">
        <v>193</v>
      </c>
      <c r="D43" s="97" t="s">
        <v>22</v>
      </c>
      <c r="E43" s="98" t="s">
        <v>236</v>
      </c>
      <c r="F43" s="99">
        <v>210000</v>
      </c>
      <c r="G43" s="110" t="s">
        <v>110</v>
      </c>
      <c r="H43" s="101"/>
      <c r="I43" s="102">
        <v>0</v>
      </c>
      <c r="J43" s="102">
        <v>0</v>
      </c>
      <c r="K43" s="102">
        <v>210000</v>
      </c>
      <c r="L43" s="103"/>
      <c r="M43" s="104"/>
      <c r="N43" s="105"/>
      <c r="O43" s="106"/>
      <c r="P43" s="105"/>
      <c r="Q43" s="106"/>
      <c r="R43" s="102"/>
      <c r="S43" s="107"/>
      <c r="T43" s="108">
        <f>+I43-N43</f>
        <v>0</v>
      </c>
      <c r="U43" s="108">
        <f>+J43-P43-P45</f>
        <v>0</v>
      </c>
      <c r="V43" s="108">
        <f>+K43-R43</f>
        <v>210000</v>
      </c>
    </row>
    <row r="44" spans="1:22" s="109" customFormat="1" ht="20.25" x14ac:dyDescent="0.2">
      <c r="A44" s="95"/>
      <c r="B44" s="95"/>
      <c r="C44" s="111" t="s">
        <v>237</v>
      </c>
      <c r="D44" s="97"/>
      <c r="E44" s="98"/>
      <c r="F44" s="99"/>
      <c r="G44" s="110"/>
      <c r="H44" s="101"/>
      <c r="I44" s="102"/>
      <c r="J44" s="102"/>
      <c r="K44" s="102"/>
      <c r="L44" s="103"/>
      <c r="M44" s="104"/>
      <c r="N44" s="105"/>
      <c r="O44" s="106"/>
      <c r="P44" s="105"/>
      <c r="Q44" s="106"/>
      <c r="R44" s="102"/>
      <c r="S44" s="107"/>
      <c r="T44" s="108"/>
      <c r="U44" s="108"/>
      <c r="V44" s="108"/>
    </row>
    <row r="45" spans="1:22" s="109" customFormat="1" ht="20.25" x14ac:dyDescent="0.2">
      <c r="A45" s="95"/>
      <c r="B45" s="95"/>
      <c r="C45" s="112" t="s">
        <v>238</v>
      </c>
      <c r="D45" s="97"/>
      <c r="E45" s="98"/>
      <c r="F45" s="99"/>
      <c r="G45" s="110"/>
      <c r="H45" s="101"/>
      <c r="I45" s="102"/>
      <c r="J45" s="102"/>
      <c r="K45" s="102"/>
      <c r="L45" s="103"/>
      <c r="M45" s="104"/>
      <c r="N45" s="105"/>
      <c r="O45" s="106"/>
      <c r="P45" s="105"/>
      <c r="Q45" s="106"/>
      <c r="R45" s="102"/>
      <c r="S45" s="107"/>
      <c r="T45" s="108"/>
      <c r="U45" s="108"/>
      <c r="V45" s="108"/>
    </row>
    <row r="46" spans="1:22" s="109" customFormat="1" ht="20.25" x14ac:dyDescent="0.2">
      <c r="A46" s="95"/>
      <c r="B46" s="95"/>
      <c r="C46" s="112" t="s">
        <v>239</v>
      </c>
      <c r="D46" s="97"/>
      <c r="E46" s="98"/>
      <c r="F46" s="99"/>
      <c r="G46" s="110"/>
      <c r="H46" s="101"/>
      <c r="I46" s="102"/>
      <c r="J46" s="102"/>
      <c r="K46" s="102"/>
      <c r="L46" s="103"/>
      <c r="M46" s="104"/>
      <c r="N46" s="105"/>
      <c r="O46" s="106"/>
      <c r="P46" s="105"/>
      <c r="Q46" s="106"/>
      <c r="R46" s="102"/>
      <c r="S46" s="107"/>
      <c r="T46" s="108"/>
      <c r="U46" s="108"/>
      <c r="V46" s="108"/>
    </row>
    <row r="47" spans="1:22" s="109" customFormat="1" ht="78" x14ac:dyDescent="0.2">
      <c r="A47" s="95">
        <v>241332</v>
      </c>
      <c r="B47" s="95" t="s">
        <v>221</v>
      </c>
      <c r="C47" s="96" t="s">
        <v>240</v>
      </c>
      <c r="D47" s="97" t="s">
        <v>19</v>
      </c>
      <c r="E47" s="98" t="s">
        <v>241</v>
      </c>
      <c r="F47" s="99">
        <v>76000</v>
      </c>
      <c r="G47" s="100" t="s">
        <v>119</v>
      </c>
      <c r="H47" s="101"/>
      <c r="I47" s="102">
        <v>4300</v>
      </c>
      <c r="J47" s="102">
        <v>77400</v>
      </c>
      <c r="K47" s="102">
        <v>4300</v>
      </c>
      <c r="L47" s="103"/>
      <c r="M47" s="104"/>
      <c r="N47" s="105"/>
      <c r="O47" s="106" t="s">
        <v>242</v>
      </c>
      <c r="P47" s="105">
        <v>77400</v>
      </c>
      <c r="Q47" s="106"/>
      <c r="R47" s="102"/>
      <c r="S47" s="107"/>
      <c r="T47" s="108">
        <f>+I47-N47</f>
        <v>4300</v>
      </c>
      <c r="U47" s="108">
        <f>+J47-P47</f>
        <v>0</v>
      </c>
      <c r="V47" s="108">
        <f>+K47-R47</f>
        <v>4300</v>
      </c>
    </row>
    <row r="48" spans="1:22" s="109" customFormat="1" ht="78" x14ac:dyDescent="0.2">
      <c r="A48" s="95"/>
      <c r="B48" s="95"/>
      <c r="C48" s="96" t="s">
        <v>243</v>
      </c>
      <c r="D48" s="97" t="s">
        <v>19</v>
      </c>
      <c r="E48" s="98" t="s">
        <v>241</v>
      </c>
      <c r="F48" s="99">
        <f>4000+3000+3000</f>
        <v>10000</v>
      </c>
      <c r="G48" s="100" t="s">
        <v>119</v>
      </c>
      <c r="H48" s="101"/>
      <c r="I48" s="102"/>
      <c r="J48" s="102"/>
      <c r="K48" s="102"/>
      <c r="L48" s="103"/>
      <c r="M48" s="104"/>
      <c r="N48" s="105"/>
      <c r="O48" s="106"/>
      <c r="P48" s="105"/>
      <c r="Q48" s="106"/>
      <c r="R48" s="102"/>
      <c r="S48" s="107"/>
      <c r="T48" s="108"/>
      <c r="U48" s="108"/>
      <c r="V48" s="108"/>
    </row>
    <row r="49" spans="1:22" s="109" customFormat="1" ht="58.5" x14ac:dyDescent="0.2">
      <c r="A49" s="95">
        <v>241333</v>
      </c>
      <c r="B49" s="95" t="s">
        <v>111</v>
      </c>
      <c r="C49" s="96" t="s">
        <v>244</v>
      </c>
      <c r="D49" s="97" t="s">
        <v>19</v>
      </c>
      <c r="E49" s="98" t="s">
        <v>245</v>
      </c>
      <c r="F49" s="99">
        <v>1750000</v>
      </c>
      <c r="G49" s="110" t="s">
        <v>110</v>
      </c>
      <c r="H49" s="101"/>
      <c r="I49" s="102">
        <v>87500</v>
      </c>
      <c r="J49" s="102">
        <v>1575000</v>
      </c>
      <c r="K49" s="102">
        <v>87500</v>
      </c>
      <c r="L49" s="103"/>
      <c r="M49" s="104"/>
      <c r="N49" s="105"/>
      <c r="O49" s="106" t="s">
        <v>246</v>
      </c>
      <c r="P49" s="105">
        <v>1575000</v>
      </c>
      <c r="Q49" s="106"/>
      <c r="R49" s="102"/>
      <c r="S49" s="107"/>
      <c r="T49" s="108">
        <f t="shared" ref="T49:T50" si="3">+I49-N49</f>
        <v>87500</v>
      </c>
      <c r="U49" s="108">
        <f t="shared" ref="U49:U50" si="4">+J49-P49</f>
        <v>0</v>
      </c>
      <c r="V49" s="108">
        <f t="shared" ref="V49:V50" si="5">+K49-R49</f>
        <v>87500</v>
      </c>
    </row>
    <row r="50" spans="1:22" s="109" customFormat="1" ht="39" x14ac:dyDescent="0.2">
      <c r="A50" s="95">
        <v>241333</v>
      </c>
      <c r="B50" s="95" t="s">
        <v>115</v>
      </c>
      <c r="C50" s="96" t="s">
        <v>247</v>
      </c>
      <c r="D50" s="97" t="s">
        <v>117</v>
      </c>
      <c r="E50" s="98" t="s">
        <v>248</v>
      </c>
      <c r="F50" s="99">
        <v>130000</v>
      </c>
      <c r="G50" s="100" t="s">
        <v>119</v>
      </c>
      <c r="H50" s="101"/>
      <c r="I50" s="102">
        <v>6500</v>
      </c>
      <c r="J50" s="102">
        <v>117000</v>
      </c>
      <c r="K50" s="102">
        <v>6500</v>
      </c>
      <c r="L50" s="103"/>
      <c r="M50" s="104"/>
      <c r="N50" s="105"/>
      <c r="O50" s="106" t="s">
        <v>249</v>
      </c>
      <c r="P50" s="105">
        <v>117000</v>
      </c>
      <c r="Q50" s="106"/>
      <c r="R50" s="102"/>
      <c r="S50" s="107"/>
      <c r="T50" s="108">
        <f t="shared" si="3"/>
        <v>6500</v>
      </c>
      <c r="U50" s="108">
        <f t="shared" si="4"/>
        <v>0</v>
      </c>
      <c r="V50" s="108">
        <f t="shared" si="5"/>
        <v>6500</v>
      </c>
    </row>
    <row r="51" spans="1:22" x14ac:dyDescent="0.4">
      <c r="A51" s="70"/>
      <c r="B51" s="71"/>
      <c r="C51" s="71"/>
      <c r="D51" s="72"/>
      <c r="E51" s="73"/>
      <c r="F51" s="74"/>
      <c r="G51" s="75"/>
      <c r="H51" s="76"/>
      <c r="I51" s="33"/>
      <c r="J51" s="33"/>
      <c r="K51" s="33"/>
      <c r="L51" s="77"/>
      <c r="M51" s="78"/>
      <c r="N51" s="79"/>
      <c r="O51" s="32"/>
      <c r="P51" s="79"/>
      <c r="Q51" s="32"/>
      <c r="R51" s="33"/>
      <c r="S51" s="80"/>
      <c r="T51" s="81">
        <f t="shared" si="0"/>
        <v>0</v>
      </c>
      <c r="U51" s="81">
        <f t="shared" si="1"/>
        <v>0</v>
      </c>
      <c r="V51" s="81">
        <f t="shared" si="2"/>
        <v>0</v>
      </c>
    </row>
    <row r="52" spans="1:22" x14ac:dyDescent="0.4">
      <c r="A52" s="70"/>
      <c r="B52" s="71"/>
      <c r="C52" s="71"/>
      <c r="D52" s="72"/>
      <c r="E52" s="73"/>
      <c r="F52" s="74"/>
      <c r="G52" s="75"/>
      <c r="H52" s="76"/>
      <c r="I52" s="33"/>
      <c r="J52" s="33"/>
      <c r="K52" s="33"/>
      <c r="L52" s="77"/>
      <c r="M52" s="78"/>
      <c r="N52" s="79"/>
      <c r="O52" s="32"/>
      <c r="P52" s="79"/>
      <c r="Q52" s="32"/>
      <c r="R52" s="33"/>
      <c r="S52" s="80"/>
      <c r="T52" s="81"/>
      <c r="U52" s="81"/>
      <c r="V52" s="81"/>
    </row>
    <row r="53" spans="1:22" s="12" customFormat="1" ht="21" thickBot="1" x14ac:dyDescent="0.5">
      <c r="A53" s="82"/>
      <c r="B53" s="82"/>
      <c r="C53" s="82"/>
      <c r="D53" s="82"/>
      <c r="E53" s="82"/>
      <c r="F53" s="83">
        <f>SUM(F6:F52)</f>
        <v>15387151.51</v>
      </c>
      <c r="G53" s="84"/>
      <c r="H53" s="85"/>
      <c r="I53" s="83">
        <f>SUM(I6:I52)</f>
        <v>715341.51</v>
      </c>
      <c r="J53" s="83">
        <f>SUM(J6:J52)</f>
        <v>13770035</v>
      </c>
      <c r="K53" s="83">
        <f>SUM(K6:K52)</f>
        <v>901775</v>
      </c>
      <c r="L53" s="86"/>
      <c r="M53" s="87"/>
      <c r="N53" s="83">
        <f>SUM(N5:N52)</f>
        <v>0</v>
      </c>
      <c r="O53" s="87"/>
      <c r="P53" s="83">
        <f>SUM(P5:P52)</f>
        <v>13498235</v>
      </c>
      <c r="Q53" s="88"/>
      <c r="R53" s="83">
        <f>SUM(R5:R52)</f>
        <v>0</v>
      </c>
      <c r="S53" s="89"/>
      <c r="T53" s="83">
        <f>SUM(T5:T52)</f>
        <v>1022135.71</v>
      </c>
      <c r="U53" s="83">
        <f t="shared" ref="U53:V53" si="6">SUM(U5:U52)</f>
        <v>286800</v>
      </c>
      <c r="V53" s="83">
        <f t="shared" si="6"/>
        <v>901775</v>
      </c>
    </row>
    <row r="54" spans="1:22" ht="20.25" thickTop="1" x14ac:dyDescent="0.4">
      <c r="K54" s="92">
        <f>+F53-I53-J53-K53</f>
        <v>0</v>
      </c>
      <c r="L54" s="92"/>
    </row>
    <row r="55" spans="1:22" x14ac:dyDescent="0.4">
      <c r="A55" s="8"/>
      <c r="R55" s="93"/>
      <c r="S55" s="93"/>
      <c r="T55" s="93"/>
      <c r="U55" s="93"/>
      <c r="V55" s="93"/>
    </row>
    <row r="56" spans="1:22" ht="21" x14ac:dyDescent="0.45">
      <c r="A56" s="8"/>
      <c r="B56" s="4" t="s">
        <v>85</v>
      </c>
      <c r="C56" s="5" t="s">
        <v>86</v>
      </c>
      <c r="D56" s="8"/>
      <c r="E56" s="8"/>
      <c r="U56" s="91"/>
    </row>
    <row r="57" spans="1:22" ht="21" x14ac:dyDescent="0.45">
      <c r="A57" s="8"/>
      <c r="B57" s="4" t="s">
        <v>3</v>
      </c>
      <c r="C57" s="5" t="s">
        <v>87</v>
      </c>
      <c r="D57" s="8"/>
      <c r="E57" s="8"/>
      <c r="U57" s="94"/>
    </row>
    <row r="58" spans="1:22" ht="21" x14ac:dyDescent="0.45">
      <c r="A58" s="8"/>
      <c r="B58" s="4" t="s">
        <v>88</v>
      </c>
      <c r="C58" s="5" t="s">
        <v>89</v>
      </c>
      <c r="D58" s="8"/>
      <c r="E58" s="8"/>
      <c r="U58" s="94"/>
    </row>
    <row r="59" spans="1:22" ht="21" x14ac:dyDescent="0.45">
      <c r="A59" s="8"/>
      <c r="B59" s="4" t="s">
        <v>90</v>
      </c>
      <c r="C59" s="5" t="s">
        <v>91</v>
      </c>
      <c r="D59" s="8"/>
      <c r="E59" s="8"/>
    </row>
    <row r="60" spans="1:22" ht="21" x14ac:dyDescent="0.45">
      <c r="A60" s="8"/>
      <c r="B60" s="4" t="s">
        <v>92</v>
      </c>
      <c r="C60" s="297" t="s">
        <v>93</v>
      </c>
      <c r="D60" s="8"/>
      <c r="E60" s="8"/>
    </row>
  </sheetData>
  <mergeCells count="19">
    <mergeCell ref="A1:G1"/>
    <mergeCell ref="A2:A4"/>
    <mergeCell ref="B2:B4"/>
    <mergeCell ref="C2:C4"/>
    <mergeCell ref="D2:D4"/>
    <mergeCell ref="E2:E4"/>
    <mergeCell ref="F2:F4"/>
    <mergeCell ref="G2:G4"/>
    <mergeCell ref="V3:V4"/>
    <mergeCell ref="I2:K2"/>
    <mergeCell ref="M2:R2"/>
    <mergeCell ref="T2:V2"/>
    <mergeCell ref="I3:J3"/>
    <mergeCell ref="K3:K4"/>
    <mergeCell ref="M3:N3"/>
    <mergeCell ref="O3:P3"/>
    <mergeCell ref="Q3:R3"/>
    <mergeCell ref="T3:T4"/>
    <mergeCell ref="U3:U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O33"/>
  <sheetViews>
    <sheetView zoomScale="115" zoomScaleNormal="115" workbookViewId="0">
      <pane xSplit="2" ySplit="9" topLeftCell="DF18" activePane="bottomRight" state="frozen"/>
      <selection pane="topRight" activeCell="C1" sqref="C1"/>
      <selection pane="bottomLeft" activeCell="A10" sqref="A10"/>
      <selection pane="bottomRight" activeCell="B22" sqref="B22"/>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1" style="325" customWidth="1"/>
    <col min="10" max="10" width="13.75" style="325" customWidth="1"/>
    <col min="11" max="11" width="0.75" style="505" customWidth="1"/>
    <col min="12" max="12" width="13.75" style="324" customWidth="1"/>
    <col min="13" max="16" width="14.375" style="325" customWidth="1"/>
    <col min="17" max="17" width="12.875" style="325" customWidth="1"/>
    <col min="18" max="18" width="11" style="325" customWidth="1"/>
    <col min="19" max="19" width="13.75" style="325" customWidth="1"/>
    <col min="20" max="20" width="0.75" style="325" customWidth="1"/>
    <col min="21" max="21" width="13.75" style="324" customWidth="1"/>
    <col min="22" max="25" width="14.375" style="325" customWidth="1"/>
    <col min="26" max="26" width="12.875" style="325" customWidth="1"/>
    <col min="27" max="27" width="11" style="325" customWidth="1"/>
    <col min="28" max="28" width="13.75" style="325" customWidth="1"/>
    <col min="29" max="29" width="0.75" style="505" customWidth="1"/>
    <col min="30" max="30" width="13.75" style="324" customWidth="1"/>
    <col min="31" max="34" width="14.375" style="325" customWidth="1"/>
    <col min="35" max="35" width="12.875" style="325" customWidth="1"/>
    <col min="36" max="36" width="11" style="325" customWidth="1"/>
    <col min="37" max="37" width="13.75" style="325" customWidth="1"/>
    <col min="38" max="38" width="0.75" style="325" customWidth="1"/>
    <col min="39" max="39" width="13.75" style="324" customWidth="1"/>
    <col min="40" max="43" width="14.375" style="325" customWidth="1"/>
    <col min="44" max="44" width="12.875" style="325" customWidth="1"/>
    <col min="45" max="45" width="11" style="325" customWidth="1"/>
    <col min="46" max="46" width="13.75" style="325" customWidth="1"/>
    <col min="47" max="47" width="0.75" style="505" customWidth="1"/>
    <col min="48" max="48" width="13.75" style="324" customWidth="1"/>
    <col min="49" max="52" width="14.375" style="325" customWidth="1"/>
    <col min="53" max="53" width="12.875" style="325" customWidth="1"/>
    <col min="54" max="54" width="11" style="325" customWidth="1"/>
    <col min="55" max="55" width="13.75" style="325" customWidth="1"/>
    <col min="56" max="56" width="0.75" style="325" hidden="1" customWidth="1"/>
    <col min="57" max="57" width="13.75" style="324" hidden="1" customWidth="1"/>
    <col min="58" max="61" width="14.375" style="325" hidden="1" customWidth="1"/>
    <col min="62" max="62" width="12.875" style="325" hidden="1" customWidth="1"/>
    <col min="63" max="63" width="11" style="325" hidden="1" customWidth="1"/>
    <col min="64" max="64" width="13.75" style="325" hidden="1" customWidth="1"/>
    <col min="65" max="65" width="0.75" style="505" hidden="1" customWidth="1"/>
    <col min="66" max="66" width="13.75" style="324" hidden="1" customWidth="1"/>
    <col min="67" max="70" width="14.375" style="325" hidden="1" customWidth="1"/>
    <col min="71" max="71" width="12.875" style="325" hidden="1" customWidth="1"/>
    <col min="72" max="72" width="11" style="325" hidden="1" customWidth="1"/>
    <col min="73" max="73" width="13.75" style="325" hidden="1" customWidth="1"/>
    <col min="74" max="74" width="0.75" style="325" hidden="1" customWidth="1"/>
    <col min="75" max="75" width="13.75" style="324" hidden="1" customWidth="1"/>
    <col min="76" max="79" width="14.375" style="325" hidden="1" customWidth="1"/>
    <col min="80" max="80" width="12.875" style="325" hidden="1" customWidth="1"/>
    <col min="81" max="81" width="11" style="325" hidden="1" customWidth="1"/>
    <col min="82" max="82" width="13.75" style="325" hidden="1" customWidth="1"/>
    <col min="83" max="83" width="0.75" style="505" hidden="1" customWidth="1"/>
    <col min="84" max="84" width="13.75" style="324" hidden="1" customWidth="1"/>
    <col min="85" max="88" width="14.375" style="325" hidden="1" customWidth="1"/>
    <col min="89" max="89" width="12.875" style="325" hidden="1" customWidth="1"/>
    <col min="90" max="90" width="11" style="325" hidden="1" customWidth="1"/>
    <col min="91" max="91" width="13.75" style="325" hidden="1" customWidth="1"/>
    <col min="92" max="92" width="0.75" style="325" hidden="1" customWidth="1"/>
    <col min="93" max="93" width="13.75" style="324" hidden="1" customWidth="1"/>
    <col min="94" max="97" width="14.375" style="325" hidden="1" customWidth="1"/>
    <col min="98" max="98" width="12.875" style="325" hidden="1" customWidth="1"/>
    <col min="99" max="99" width="11" style="325" hidden="1" customWidth="1"/>
    <col min="100" max="100" width="13.75" style="325" hidden="1" customWidth="1"/>
    <col min="101" max="101" width="0.75" style="505" hidden="1" customWidth="1"/>
    <col min="102" max="102" width="13.75" style="324" hidden="1" customWidth="1"/>
    <col min="103" max="106" width="14.375" style="325" hidden="1" customWidth="1"/>
    <col min="107" max="107" width="12.875" style="325" hidden="1" customWidth="1"/>
    <col min="108" max="108" width="11" style="325" hidden="1" customWidth="1"/>
    <col min="109" max="109" width="13.75" style="325" hidden="1" customWidth="1"/>
    <col min="110" max="110" width="0.75" style="325" customWidth="1"/>
    <col min="111" max="111" width="13.75" style="324" customWidth="1"/>
    <col min="112" max="115" width="14.375" style="325" customWidth="1"/>
    <col min="116" max="116" width="12.875" style="325" customWidth="1"/>
    <col min="117" max="117" width="11" style="325" customWidth="1"/>
    <col min="118" max="118" width="13.75" style="325" customWidth="1"/>
    <col min="119" max="119" width="17.5" style="325" customWidth="1"/>
    <col min="120"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1" style="325" customWidth="1"/>
    <col min="266" max="266" width="13.75" style="325" customWidth="1"/>
    <col min="267" max="267" width="0.75" style="325" customWidth="1"/>
    <col min="268" max="268" width="13.75" style="325" customWidth="1"/>
    <col min="269" max="272" width="14.375" style="325" customWidth="1"/>
    <col min="273" max="273" width="12.875" style="325" customWidth="1"/>
    <col min="274" max="274" width="11" style="325" customWidth="1"/>
    <col min="275" max="275" width="13.75" style="325" customWidth="1"/>
    <col min="276" max="276" width="0.75" style="325" customWidth="1"/>
    <col min="277" max="277" width="13.75" style="325" customWidth="1"/>
    <col min="278" max="281" width="14.375" style="325" customWidth="1"/>
    <col min="282" max="282" width="12.875" style="325" customWidth="1"/>
    <col min="283" max="283" width="11" style="325" customWidth="1"/>
    <col min="284" max="284" width="13.75" style="325" customWidth="1"/>
    <col min="285" max="285" width="0.75" style="325" customWidth="1"/>
    <col min="286" max="286" width="13.75" style="325" customWidth="1"/>
    <col min="287" max="290" width="14.375" style="325" customWidth="1"/>
    <col min="291" max="291" width="12.875" style="325" customWidth="1"/>
    <col min="292" max="292" width="11" style="325" customWidth="1"/>
    <col min="293" max="293" width="13.75" style="325" customWidth="1"/>
    <col min="294" max="294" width="0.75" style="325" customWidth="1"/>
    <col min="295" max="295" width="13.75" style="325" customWidth="1"/>
    <col min="296" max="299" width="14.375" style="325" customWidth="1"/>
    <col min="300" max="300" width="12.875" style="325" customWidth="1"/>
    <col min="301" max="301" width="11" style="325" customWidth="1"/>
    <col min="302" max="302" width="13.75" style="325" customWidth="1"/>
    <col min="303" max="303" width="0.75" style="325" customWidth="1"/>
    <col min="304" max="304" width="13.75" style="325" customWidth="1"/>
    <col min="305" max="308" width="14.375" style="325" customWidth="1"/>
    <col min="309" max="309" width="12.875" style="325" customWidth="1"/>
    <col min="310" max="310" width="11" style="325" customWidth="1"/>
    <col min="311" max="311" width="13.75" style="325" customWidth="1"/>
    <col min="312" max="365" width="0" style="325" hidden="1" customWidth="1"/>
    <col min="366" max="366" width="0.75" style="325" customWidth="1"/>
    <col min="367" max="367" width="13.75" style="325" customWidth="1"/>
    <col min="368" max="371" width="14.375" style="325" customWidth="1"/>
    <col min="372" max="372" width="12.875" style="325" customWidth="1"/>
    <col min="373" max="373" width="11" style="325" customWidth="1"/>
    <col min="374" max="374" width="13.75" style="325" customWidth="1"/>
    <col min="375" max="375" width="17.5" style="325" customWidth="1"/>
    <col min="376"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1" style="325" customWidth="1"/>
    <col min="522" max="522" width="13.75" style="325" customWidth="1"/>
    <col min="523" max="523" width="0.75" style="325" customWidth="1"/>
    <col min="524" max="524" width="13.75" style="325" customWidth="1"/>
    <col min="525" max="528" width="14.375" style="325" customWidth="1"/>
    <col min="529" max="529" width="12.875" style="325" customWidth="1"/>
    <col min="530" max="530" width="11" style="325" customWidth="1"/>
    <col min="531" max="531" width="13.75" style="325" customWidth="1"/>
    <col min="532" max="532" width="0.75" style="325" customWidth="1"/>
    <col min="533" max="533" width="13.75" style="325" customWidth="1"/>
    <col min="534" max="537" width="14.375" style="325" customWidth="1"/>
    <col min="538" max="538" width="12.875" style="325" customWidth="1"/>
    <col min="539" max="539" width="11" style="325" customWidth="1"/>
    <col min="540" max="540" width="13.75" style="325" customWidth="1"/>
    <col min="541" max="541" width="0.75" style="325" customWidth="1"/>
    <col min="542" max="542" width="13.75" style="325" customWidth="1"/>
    <col min="543" max="546" width="14.375" style="325" customWidth="1"/>
    <col min="547" max="547" width="12.875" style="325" customWidth="1"/>
    <col min="548" max="548" width="11" style="325" customWidth="1"/>
    <col min="549" max="549" width="13.75" style="325" customWidth="1"/>
    <col min="550" max="550" width="0.75" style="325" customWidth="1"/>
    <col min="551" max="551" width="13.75" style="325" customWidth="1"/>
    <col min="552" max="555" width="14.375" style="325" customWidth="1"/>
    <col min="556" max="556" width="12.875" style="325" customWidth="1"/>
    <col min="557" max="557" width="11" style="325" customWidth="1"/>
    <col min="558" max="558" width="13.75" style="325" customWidth="1"/>
    <col min="559" max="559" width="0.75" style="325" customWidth="1"/>
    <col min="560" max="560" width="13.75" style="325" customWidth="1"/>
    <col min="561" max="564" width="14.375" style="325" customWidth="1"/>
    <col min="565" max="565" width="12.875" style="325" customWidth="1"/>
    <col min="566" max="566" width="11" style="325" customWidth="1"/>
    <col min="567" max="567" width="13.75" style="325" customWidth="1"/>
    <col min="568" max="621" width="0" style="325" hidden="1" customWidth="1"/>
    <col min="622" max="622" width="0.75" style="325" customWidth="1"/>
    <col min="623" max="623" width="13.75" style="325" customWidth="1"/>
    <col min="624" max="627" width="14.375" style="325" customWidth="1"/>
    <col min="628" max="628" width="12.875" style="325" customWidth="1"/>
    <col min="629" max="629" width="11" style="325" customWidth="1"/>
    <col min="630" max="630" width="13.75" style="325" customWidth="1"/>
    <col min="631" max="631" width="17.5" style="325" customWidth="1"/>
    <col min="632"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1" style="325" customWidth="1"/>
    <col min="778" max="778" width="13.75" style="325" customWidth="1"/>
    <col min="779" max="779" width="0.75" style="325" customWidth="1"/>
    <col min="780" max="780" width="13.75" style="325" customWidth="1"/>
    <col min="781" max="784" width="14.375" style="325" customWidth="1"/>
    <col min="785" max="785" width="12.875" style="325" customWidth="1"/>
    <col min="786" max="786" width="11" style="325" customWidth="1"/>
    <col min="787" max="787" width="13.75" style="325" customWidth="1"/>
    <col min="788" max="788" width="0.75" style="325" customWidth="1"/>
    <col min="789" max="789" width="13.75" style="325" customWidth="1"/>
    <col min="790" max="793" width="14.375" style="325" customWidth="1"/>
    <col min="794" max="794" width="12.875" style="325" customWidth="1"/>
    <col min="795" max="795" width="11" style="325" customWidth="1"/>
    <col min="796" max="796" width="13.75" style="325" customWidth="1"/>
    <col min="797" max="797" width="0.75" style="325" customWidth="1"/>
    <col min="798" max="798" width="13.75" style="325" customWidth="1"/>
    <col min="799" max="802" width="14.375" style="325" customWidth="1"/>
    <col min="803" max="803" width="12.875" style="325" customWidth="1"/>
    <col min="804" max="804" width="11" style="325" customWidth="1"/>
    <col min="805" max="805" width="13.75" style="325" customWidth="1"/>
    <col min="806" max="806" width="0.75" style="325" customWidth="1"/>
    <col min="807" max="807" width="13.75" style="325" customWidth="1"/>
    <col min="808" max="811" width="14.375" style="325" customWidth="1"/>
    <col min="812" max="812" width="12.875" style="325" customWidth="1"/>
    <col min="813" max="813" width="11" style="325" customWidth="1"/>
    <col min="814" max="814" width="13.75" style="325" customWidth="1"/>
    <col min="815" max="815" width="0.75" style="325" customWidth="1"/>
    <col min="816" max="816" width="13.75" style="325" customWidth="1"/>
    <col min="817" max="820" width="14.375" style="325" customWidth="1"/>
    <col min="821" max="821" width="12.875" style="325" customWidth="1"/>
    <col min="822" max="822" width="11" style="325" customWidth="1"/>
    <col min="823" max="823" width="13.75" style="325" customWidth="1"/>
    <col min="824" max="877" width="0" style="325" hidden="1" customWidth="1"/>
    <col min="878" max="878" width="0.75" style="325" customWidth="1"/>
    <col min="879" max="879" width="13.75" style="325" customWidth="1"/>
    <col min="880" max="883" width="14.375" style="325" customWidth="1"/>
    <col min="884" max="884" width="12.875" style="325" customWidth="1"/>
    <col min="885" max="885" width="11" style="325" customWidth="1"/>
    <col min="886" max="886" width="13.75" style="325" customWidth="1"/>
    <col min="887" max="887" width="17.5" style="325" customWidth="1"/>
    <col min="888"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1" style="325" customWidth="1"/>
    <col min="1034" max="1034" width="13.75" style="325" customWidth="1"/>
    <col min="1035" max="1035" width="0.75" style="325" customWidth="1"/>
    <col min="1036" max="1036" width="13.75" style="325" customWidth="1"/>
    <col min="1037" max="1040" width="14.375" style="325" customWidth="1"/>
    <col min="1041" max="1041" width="12.875" style="325" customWidth="1"/>
    <col min="1042" max="1042" width="11" style="325" customWidth="1"/>
    <col min="1043" max="1043" width="13.75" style="325" customWidth="1"/>
    <col min="1044" max="1044" width="0.75" style="325" customWidth="1"/>
    <col min="1045" max="1045" width="13.75" style="325" customWidth="1"/>
    <col min="1046" max="1049" width="14.375" style="325" customWidth="1"/>
    <col min="1050" max="1050" width="12.875" style="325" customWidth="1"/>
    <col min="1051" max="1051" width="11" style="325" customWidth="1"/>
    <col min="1052" max="1052" width="13.75" style="325" customWidth="1"/>
    <col min="1053" max="1053" width="0.75" style="325" customWidth="1"/>
    <col min="1054" max="1054" width="13.75" style="325" customWidth="1"/>
    <col min="1055" max="1058" width="14.375" style="325" customWidth="1"/>
    <col min="1059" max="1059" width="12.875" style="325" customWidth="1"/>
    <col min="1060" max="1060" width="11" style="325" customWidth="1"/>
    <col min="1061" max="1061" width="13.75" style="325" customWidth="1"/>
    <col min="1062" max="1062" width="0.75" style="325" customWidth="1"/>
    <col min="1063" max="1063" width="13.75" style="325" customWidth="1"/>
    <col min="1064" max="1067" width="14.375" style="325" customWidth="1"/>
    <col min="1068" max="1068" width="12.875" style="325" customWidth="1"/>
    <col min="1069" max="1069" width="11" style="325" customWidth="1"/>
    <col min="1070" max="1070" width="13.75" style="325" customWidth="1"/>
    <col min="1071" max="1071" width="0.75" style="325" customWidth="1"/>
    <col min="1072" max="1072" width="13.75" style="325" customWidth="1"/>
    <col min="1073" max="1076" width="14.375" style="325" customWidth="1"/>
    <col min="1077" max="1077" width="12.875" style="325" customWidth="1"/>
    <col min="1078" max="1078" width="11" style="325" customWidth="1"/>
    <col min="1079" max="1079" width="13.75" style="325" customWidth="1"/>
    <col min="1080" max="1133" width="0" style="325" hidden="1" customWidth="1"/>
    <col min="1134" max="1134" width="0.75" style="325" customWidth="1"/>
    <col min="1135" max="1135" width="13.75" style="325" customWidth="1"/>
    <col min="1136" max="1139" width="14.375" style="325" customWidth="1"/>
    <col min="1140" max="1140" width="12.875" style="325" customWidth="1"/>
    <col min="1141" max="1141" width="11" style="325" customWidth="1"/>
    <col min="1142" max="1142" width="13.75" style="325" customWidth="1"/>
    <col min="1143" max="1143" width="17.5" style="325" customWidth="1"/>
    <col min="1144"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1" style="325" customWidth="1"/>
    <col min="1290" max="1290" width="13.75" style="325" customWidth="1"/>
    <col min="1291" max="1291" width="0.75" style="325" customWidth="1"/>
    <col min="1292" max="1292" width="13.75" style="325" customWidth="1"/>
    <col min="1293" max="1296" width="14.375" style="325" customWidth="1"/>
    <col min="1297" max="1297" width="12.875" style="325" customWidth="1"/>
    <col min="1298" max="1298" width="11" style="325" customWidth="1"/>
    <col min="1299" max="1299" width="13.75" style="325" customWidth="1"/>
    <col min="1300" max="1300" width="0.75" style="325" customWidth="1"/>
    <col min="1301" max="1301" width="13.75" style="325" customWidth="1"/>
    <col min="1302" max="1305" width="14.375" style="325" customWidth="1"/>
    <col min="1306" max="1306" width="12.875" style="325" customWidth="1"/>
    <col min="1307" max="1307" width="11" style="325" customWidth="1"/>
    <col min="1308" max="1308" width="13.75" style="325" customWidth="1"/>
    <col min="1309" max="1309" width="0.75" style="325" customWidth="1"/>
    <col min="1310" max="1310" width="13.75" style="325" customWidth="1"/>
    <col min="1311" max="1314" width="14.375" style="325" customWidth="1"/>
    <col min="1315" max="1315" width="12.875" style="325" customWidth="1"/>
    <col min="1316" max="1316" width="11" style="325" customWidth="1"/>
    <col min="1317" max="1317" width="13.75" style="325" customWidth="1"/>
    <col min="1318" max="1318" width="0.75" style="325" customWidth="1"/>
    <col min="1319" max="1319" width="13.75" style="325" customWidth="1"/>
    <col min="1320" max="1323" width="14.375" style="325" customWidth="1"/>
    <col min="1324" max="1324" width="12.875" style="325" customWidth="1"/>
    <col min="1325" max="1325" width="11" style="325" customWidth="1"/>
    <col min="1326" max="1326" width="13.75" style="325" customWidth="1"/>
    <col min="1327" max="1327" width="0.75" style="325" customWidth="1"/>
    <col min="1328" max="1328" width="13.75" style="325" customWidth="1"/>
    <col min="1329" max="1332" width="14.375" style="325" customWidth="1"/>
    <col min="1333" max="1333" width="12.875" style="325" customWidth="1"/>
    <col min="1334" max="1334" width="11" style="325" customWidth="1"/>
    <col min="1335" max="1335" width="13.75" style="325" customWidth="1"/>
    <col min="1336" max="1389" width="0" style="325" hidden="1" customWidth="1"/>
    <col min="1390" max="1390" width="0.75" style="325" customWidth="1"/>
    <col min="1391" max="1391" width="13.75" style="325" customWidth="1"/>
    <col min="1392" max="1395" width="14.375" style="325" customWidth="1"/>
    <col min="1396" max="1396" width="12.875" style="325" customWidth="1"/>
    <col min="1397" max="1397" width="11" style="325" customWidth="1"/>
    <col min="1398" max="1398" width="13.75" style="325" customWidth="1"/>
    <col min="1399" max="1399" width="17.5" style="325" customWidth="1"/>
    <col min="1400"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1" style="325" customWidth="1"/>
    <col min="1546" max="1546" width="13.75" style="325" customWidth="1"/>
    <col min="1547" max="1547" width="0.75" style="325" customWidth="1"/>
    <col min="1548" max="1548" width="13.75" style="325" customWidth="1"/>
    <col min="1549" max="1552" width="14.375" style="325" customWidth="1"/>
    <col min="1553" max="1553" width="12.875" style="325" customWidth="1"/>
    <col min="1554" max="1554" width="11" style="325" customWidth="1"/>
    <col min="1555" max="1555" width="13.75" style="325" customWidth="1"/>
    <col min="1556" max="1556" width="0.75" style="325" customWidth="1"/>
    <col min="1557" max="1557" width="13.75" style="325" customWidth="1"/>
    <col min="1558" max="1561" width="14.375" style="325" customWidth="1"/>
    <col min="1562" max="1562" width="12.875" style="325" customWidth="1"/>
    <col min="1563" max="1563" width="11" style="325" customWidth="1"/>
    <col min="1564" max="1564" width="13.75" style="325" customWidth="1"/>
    <col min="1565" max="1565" width="0.75" style="325" customWidth="1"/>
    <col min="1566" max="1566" width="13.75" style="325" customWidth="1"/>
    <col min="1567" max="1570" width="14.375" style="325" customWidth="1"/>
    <col min="1571" max="1571" width="12.875" style="325" customWidth="1"/>
    <col min="1572" max="1572" width="11" style="325" customWidth="1"/>
    <col min="1573" max="1573" width="13.75" style="325" customWidth="1"/>
    <col min="1574" max="1574" width="0.75" style="325" customWidth="1"/>
    <col min="1575" max="1575" width="13.75" style="325" customWidth="1"/>
    <col min="1576" max="1579" width="14.375" style="325" customWidth="1"/>
    <col min="1580" max="1580" width="12.875" style="325" customWidth="1"/>
    <col min="1581" max="1581" width="11" style="325" customWidth="1"/>
    <col min="1582" max="1582" width="13.75" style="325" customWidth="1"/>
    <col min="1583" max="1583" width="0.75" style="325" customWidth="1"/>
    <col min="1584" max="1584" width="13.75" style="325" customWidth="1"/>
    <col min="1585" max="1588" width="14.375" style="325" customWidth="1"/>
    <col min="1589" max="1589" width="12.875" style="325" customWidth="1"/>
    <col min="1590" max="1590" width="11" style="325" customWidth="1"/>
    <col min="1591" max="1591" width="13.75" style="325" customWidth="1"/>
    <col min="1592" max="1645" width="0" style="325" hidden="1" customWidth="1"/>
    <col min="1646" max="1646" width="0.75" style="325" customWidth="1"/>
    <col min="1647" max="1647" width="13.75" style="325" customWidth="1"/>
    <col min="1648" max="1651" width="14.375" style="325" customWidth="1"/>
    <col min="1652" max="1652" width="12.875" style="325" customWidth="1"/>
    <col min="1653" max="1653" width="11" style="325" customWidth="1"/>
    <col min="1654" max="1654" width="13.75" style="325" customWidth="1"/>
    <col min="1655" max="1655" width="17.5" style="325" customWidth="1"/>
    <col min="1656"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1" style="325" customWidth="1"/>
    <col min="1802" max="1802" width="13.75" style="325" customWidth="1"/>
    <col min="1803" max="1803" width="0.75" style="325" customWidth="1"/>
    <col min="1804" max="1804" width="13.75" style="325" customWidth="1"/>
    <col min="1805" max="1808" width="14.375" style="325" customWidth="1"/>
    <col min="1809" max="1809" width="12.875" style="325" customWidth="1"/>
    <col min="1810" max="1810" width="11" style="325" customWidth="1"/>
    <col min="1811" max="1811" width="13.75" style="325" customWidth="1"/>
    <col min="1812" max="1812" width="0.75" style="325" customWidth="1"/>
    <col min="1813" max="1813" width="13.75" style="325" customWidth="1"/>
    <col min="1814" max="1817" width="14.375" style="325" customWidth="1"/>
    <col min="1818" max="1818" width="12.875" style="325" customWidth="1"/>
    <col min="1819" max="1819" width="11" style="325" customWidth="1"/>
    <col min="1820" max="1820" width="13.75" style="325" customWidth="1"/>
    <col min="1821" max="1821" width="0.75" style="325" customWidth="1"/>
    <col min="1822" max="1822" width="13.75" style="325" customWidth="1"/>
    <col min="1823" max="1826" width="14.375" style="325" customWidth="1"/>
    <col min="1827" max="1827" width="12.875" style="325" customWidth="1"/>
    <col min="1828" max="1828" width="11" style="325" customWidth="1"/>
    <col min="1829" max="1829" width="13.75" style="325" customWidth="1"/>
    <col min="1830" max="1830" width="0.75" style="325" customWidth="1"/>
    <col min="1831" max="1831" width="13.75" style="325" customWidth="1"/>
    <col min="1832" max="1835" width="14.375" style="325" customWidth="1"/>
    <col min="1836" max="1836" width="12.875" style="325" customWidth="1"/>
    <col min="1837" max="1837" width="11" style="325" customWidth="1"/>
    <col min="1838" max="1838" width="13.75" style="325" customWidth="1"/>
    <col min="1839" max="1839" width="0.75" style="325" customWidth="1"/>
    <col min="1840" max="1840" width="13.75" style="325" customWidth="1"/>
    <col min="1841" max="1844" width="14.375" style="325" customWidth="1"/>
    <col min="1845" max="1845" width="12.875" style="325" customWidth="1"/>
    <col min="1846" max="1846" width="11" style="325" customWidth="1"/>
    <col min="1847" max="1847" width="13.75" style="325" customWidth="1"/>
    <col min="1848" max="1901" width="0" style="325" hidden="1" customWidth="1"/>
    <col min="1902" max="1902" width="0.75" style="325" customWidth="1"/>
    <col min="1903" max="1903" width="13.75" style="325" customWidth="1"/>
    <col min="1904" max="1907" width="14.375" style="325" customWidth="1"/>
    <col min="1908" max="1908" width="12.875" style="325" customWidth="1"/>
    <col min="1909" max="1909" width="11" style="325" customWidth="1"/>
    <col min="1910" max="1910" width="13.75" style="325" customWidth="1"/>
    <col min="1911" max="1911" width="17.5" style="325" customWidth="1"/>
    <col min="1912"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1" style="325" customWidth="1"/>
    <col min="2058" max="2058" width="13.75" style="325" customWidth="1"/>
    <col min="2059" max="2059" width="0.75" style="325" customWidth="1"/>
    <col min="2060" max="2060" width="13.75" style="325" customWidth="1"/>
    <col min="2061" max="2064" width="14.375" style="325" customWidth="1"/>
    <col min="2065" max="2065" width="12.875" style="325" customWidth="1"/>
    <col min="2066" max="2066" width="11" style="325" customWidth="1"/>
    <col min="2067" max="2067" width="13.75" style="325" customWidth="1"/>
    <col min="2068" max="2068" width="0.75" style="325" customWidth="1"/>
    <col min="2069" max="2069" width="13.75" style="325" customWidth="1"/>
    <col min="2070" max="2073" width="14.375" style="325" customWidth="1"/>
    <col min="2074" max="2074" width="12.875" style="325" customWidth="1"/>
    <col min="2075" max="2075" width="11" style="325" customWidth="1"/>
    <col min="2076" max="2076" width="13.75" style="325" customWidth="1"/>
    <col min="2077" max="2077" width="0.75" style="325" customWidth="1"/>
    <col min="2078" max="2078" width="13.75" style="325" customWidth="1"/>
    <col min="2079" max="2082" width="14.375" style="325" customWidth="1"/>
    <col min="2083" max="2083" width="12.875" style="325" customWidth="1"/>
    <col min="2084" max="2084" width="11" style="325" customWidth="1"/>
    <col min="2085" max="2085" width="13.75" style="325" customWidth="1"/>
    <col min="2086" max="2086" width="0.75" style="325" customWidth="1"/>
    <col min="2087" max="2087" width="13.75" style="325" customWidth="1"/>
    <col min="2088" max="2091" width="14.375" style="325" customWidth="1"/>
    <col min="2092" max="2092" width="12.875" style="325" customWidth="1"/>
    <col min="2093" max="2093" width="11" style="325" customWidth="1"/>
    <col min="2094" max="2094" width="13.75" style="325" customWidth="1"/>
    <col min="2095" max="2095" width="0.75" style="325" customWidth="1"/>
    <col min="2096" max="2096" width="13.75" style="325" customWidth="1"/>
    <col min="2097" max="2100" width="14.375" style="325" customWidth="1"/>
    <col min="2101" max="2101" width="12.875" style="325" customWidth="1"/>
    <col min="2102" max="2102" width="11" style="325" customWidth="1"/>
    <col min="2103" max="2103" width="13.75" style="325" customWidth="1"/>
    <col min="2104" max="2157" width="0" style="325" hidden="1" customWidth="1"/>
    <col min="2158" max="2158" width="0.75" style="325" customWidth="1"/>
    <col min="2159" max="2159" width="13.75" style="325" customWidth="1"/>
    <col min="2160" max="2163" width="14.375" style="325" customWidth="1"/>
    <col min="2164" max="2164" width="12.875" style="325" customWidth="1"/>
    <col min="2165" max="2165" width="11" style="325" customWidth="1"/>
    <col min="2166" max="2166" width="13.75" style="325" customWidth="1"/>
    <col min="2167" max="2167" width="17.5" style="325" customWidth="1"/>
    <col min="2168"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1" style="325" customWidth="1"/>
    <col min="2314" max="2314" width="13.75" style="325" customWidth="1"/>
    <col min="2315" max="2315" width="0.75" style="325" customWidth="1"/>
    <col min="2316" max="2316" width="13.75" style="325" customWidth="1"/>
    <col min="2317" max="2320" width="14.375" style="325" customWidth="1"/>
    <col min="2321" max="2321" width="12.875" style="325" customWidth="1"/>
    <col min="2322" max="2322" width="11" style="325" customWidth="1"/>
    <col min="2323" max="2323" width="13.75" style="325" customWidth="1"/>
    <col min="2324" max="2324" width="0.75" style="325" customWidth="1"/>
    <col min="2325" max="2325" width="13.75" style="325" customWidth="1"/>
    <col min="2326" max="2329" width="14.375" style="325" customWidth="1"/>
    <col min="2330" max="2330" width="12.875" style="325" customWidth="1"/>
    <col min="2331" max="2331" width="11" style="325" customWidth="1"/>
    <col min="2332" max="2332" width="13.75" style="325" customWidth="1"/>
    <col min="2333" max="2333" width="0.75" style="325" customWidth="1"/>
    <col min="2334" max="2334" width="13.75" style="325" customWidth="1"/>
    <col min="2335" max="2338" width="14.375" style="325" customWidth="1"/>
    <col min="2339" max="2339" width="12.875" style="325" customWidth="1"/>
    <col min="2340" max="2340" width="11" style="325" customWidth="1"/>
    <col min="2341" max="2341" width="13.75" style="325" customWidth="1"/>
    <col min="2342" max="2342" width="0.75" style="325" customWidth="1"/>
    <col min="2343" max="2343" width="13.75" style="325" customWidth="1"/>
    <col min="2344" max="2347" width="14.375" style="325" customWidth="1"/>
    <col min="2348" max="2348" width="12.875" style="325" customWidth="1"/>
    <col min="2349" max="2349" width="11" style="325" customWidth="1"/>
    <col min="2350" max="2350" width="13.75" style="325" customWidth="1"/>
    <col min="2351" max="2351" width="0.75" style="325" customWidth="1"/>
    <col min="2352" max="2352" width="13.75" style="325" customWidth="1"/>
    <col min="2353" max="2356" width="14.375" style="325" customWidth="1"/>
    <col min="2357" max="2357" width="12.875" style="325" customWidth="1"/>
    <col min="2358" max="2358" width="11" style="325" customWidth="1"/>
    <col min="2359" max="2359" width="13.75" style="325" customWidth="1"/>
    <col min="2360" max="2413" width="0" style="325" hidden="1" customWidth="1"/>
    <col min="2414" max="2414" width="0.75" style="325" customWidth="1"/>
    <col min="2415" max="2415" width="13.75" style="325" customWidth="1"/>
    <col min="2416" max="2419" width="14.375" style="325" customWidth="1"/>
    <col min="2420" max="2420" width="12.875" style="325" customWidth="1"/>
    <col min="2421" max="2421" width="11" style="325" customWidth="1"/>
    <col min="2422" max="2422" width="13.75" style="325" customWidth="1"/>
    <col min="2423" max="2423" width="17.5" style="325" customWidth="1"/>
    <col min="2424"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1" style="325" customWidth="1"/>
    <col min="2570" max="2570" width="13.75" style="325" customWidth="1"/>
    <col min="2571" max="2571" width="0.75" style="325" customWidth="1"/>
    <col min="2572" max="2572" width="13.75" style="325" customWidth="1"/>
    <col min="2573" max="2576" width="14.375" style="325" customWidth="1"/>
    <col min="2577" max="2577" width="12.875" style="325" customWidth="1"/>
    <col min="2578" max="2578" width="11" style="325" customWidth="1"/>
    <col min="2579" max="2579" width="13.75" style="325" customWidth="1"/>
    <col min="2580" max="2580" width="0.75" style="325" customWidth="1"/>
    <col min="2581" max="2581" width="13.75" style="325" customWidth="1"/>
    <col min="2582" max="2585" width="14.375" style="325" customWidth="1"/>
    <col min="2586" max="2586" width="12.875" style="325" customWidth="1"/>
    <col min="2587" max="2587" width="11" style="325" customWidth="1"/>
    <col min="2588" max="2588" width="13.75" style="325" customWidth="1"/>
    <col min="2589" max="2589" width="0.75" style="325" customWidth="1"/>
    <col min="2590" max="2590" width="13.75" style="325" customWidth="1"/>
    <col min="2591" max="2594" width="14.375" style="325" customWidth="1"/>
    <col min="2595" max="2595" width="12.875" style="325" customWidth="1"/>
    <col min="2596" max="2596" width="11" style="325" customWidth="1"/>
    <col min="2597" max="2597" width="13.75" style="325" customWidth="1"/>
    <col min="2598" max="2598" width="0.75" style="325" customWidth="1"/>
    <col min="2599" max="2599" width="13.75" style="325" customWidth="1"/>
    <col min="2600" max="2603" width="14.375" style="325" customWidth="1"/>
    <col min="2604" max="2604" width="12.875" style="325" customWidth="1"/>
    <col min="2605" max="2605" width="11" style="325" customWidth="1"/>
    <col min="2606" max="2606" width="13.75" style="325" customWidth="1"/>
    <col min="2607" max="2607" width="0.75" style="325" customWidth="1"/>
    <col min="2608" max="2608" width="13.75" style="325" customWidth="1"/>
    <col min="2609" max="2612" width="14.375" style="325" customWidth="1"/>
    <col min="2613" max="2613" width="12.875" style="325" customWidth="1"/>
    <col min="2614" max="2614" width="11" style="325" customWidth="1"/>
    <col min="2615" max="2615" width="13.75" style="325" customWidth="1"/>
    <col min="2616" max="2669" width="0" style="325" hidden="1" customWidth="1"/>
    <col min="2670" max="2670" width="0.75" style="325" customWidth="1"/>
    <col min="2671" max="2671" width="13.75" style="325" customWidth="1"/>
    <col min="2672" max="2675" width="14.375" style="325" customWidth="1"/>
    <col min="2676" max="2676" width="12.875" style="325" customWidth="1"/>
    <col min="2677" max="2677" width="11" style="325" customWidth="1"/>
    <col min="2678" max="2678" width="13.75" style="325" customWidth="1"/>
    <col min="2679" max="2679" width="17.5" style="325" customWidth="1"/>
    <col min="2680"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1" style="325" customWidth="1"/>
    <col min="2826" max="2826" width="13.75" style="325" customWidth="1"/>
    <col min="2827" max="2827" width="0.75" style="325" customWidth="1"/>
    <col min="2828" max="2828" width="13.75" style="325" customWidth="1"/>
    <col min="2829" max="2832" width="14.375" style="325" customWidth="1"/>
    <col min="2833" max="2833" width="12.875" style="325" customWidth="1"/>
    <col min="2834" max="2834" width="11" style="325" customWidth="1"/>
    <col min="2835" max="2835" width="13.75" style="325" customWidth="1"/>
    <col min="2836" max="2836" width="0.75" style="325" customWidth="1"/>
    <col min="2837" max="2837" width="13.75" style="325" customWidth="1"/>
    <col min="2838" max="2841" width="14.375" style="325" customWidth="1"/>
    <col min="2842" max="2842" width="12.875" style="325" customWidth="1"/>
    <col min="2843" max="2843" width="11" style="325" customWidth="1"/>
    <col min="2844" max="2844" width="13.75" style="325" customWidth="1"/>
    <col min="2845" max="2845" width="0.75" style="325" customWidth="1"/>
    <col min="2846" max="2846" width="13.75" style="325" customWidth="1"/>
    <col min="2847" max="2850" width="14.375" style="325" customWidth="1"/>
    <col min="2851" max="2851" width="12.875" style="325" customWidth="1"/>
    <col min="2852" max="2852" width="11" style="325" customWidth="1"/>
    <col min="2853" max="2853" width="13.75" style="325" customWidth="1"/>
    <col min="2854" max="2854" width="0.75" style="325" customWidth="1"/>
    <col min="2855" max="2855" width="13.75" style="325" customWidth="1"/>
    <col min="2856" max="2859" width="14.375" style="325" customWidth="1"/>
    <col min="2860" max="2860" width="12.875" style="325" customWidth="1"/>
    <col min="2861" max="2861" width="11" style="325" customWidth="1"/>
    <col min="2862" max="2862" width="13.75" style="325" customWidth="1"/>
    <col min="2863" max="2863" width="0.75" style="325" customWidth="1"/>
    <col min="2864" max="2864" width="13.75" style="325" customWidth="1"/>
    <col min="2865" max="2868" width="14.375" style="325" customWidth="1"/>
    <col min="2869" max="2869" width="12.875" style="325" customWidth="1"/>
    <col min="2870" max="2870" width="11" style="325" customWidth="1"/>
    <col min="2871" max="2871" width="13.75" style="325" customWidth="1"/>
    <col min="2872" max="2925" width="0" style="325" hidden="1" customWidth="1"/>
    <col min="2926" max="2926" width="0.75" style="325" customWidth="1"/>
    <col min="2927" max="2927" width="13.75" style="325" customWidth="1"/>
    <col min="2928" max="2931" width="14.375" style="325" customWidth="1"/>
    <col min="2932" max="2932" width="12.875" style="325" customWidth="1"/>
    <col min="2933" max="2933" width="11" style="325" customWidth="1"/>
    <col min="2934" max="2934" width="13.75" style="325" customWidth="1"/>
    <col min="2935" max="2935" width="17.5" style="325" customWidth="1"/>
    <col min="2936"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1" style="325" customWidth="1"/>
    <col min="3082" max="3082" width="13.75" style="325" customWidth="1"/>
    <col min="3083" max="3083" width="0.75" style="325" customWidth="1"/>
    <col min="3084" max="3084" width="13.75" style="325" customWidth="1"/>
    <col min="3085" max="3088" width="14.375" style="325" customWidth="1"/>
    <col min="3089" max="3089" width="12.875" style="325" customWidth="1"/>
    <col min="3090" max="3090" width="11" style="325" customWidth="1"/>
    <col min="3091" max="3091" width="13.75" style="325" customWidth="1"/>
    <col min="3092" max="3092" width="0.75" style="325" customWidth="1"/>
    <col min="3093" max="3093" width="13.75" style="325" customWidth="1"/>
    <col min="3094" max="3097" width="14.375" style="325" customWidth="1"/>
    <col min="3098" max="3098" width="12.875" style="325" customWidth="1"/>
    <col min="3099" max="3099" width="11" style="325" customWidth="1"/>
    <col min="3100" max="3100" width="13.75" style="325" customWidth="1"/>
    <col min="3101" max="3101" width="0.75" style="325" customWidth="1"/>
    <col min="3102" max="3102" width="13.75" style="325" customWidth="1"/>
    <col min="3103" max="3106" width="14.375" style="325" customWidth="1"/>
    <col min="3107" max="3107" width="12.875" style="325" customWidth="1"/>
    <col min="3108" max="3108" width="11" style="325" customWidth="1"/>
    <col min="3109" max="3109" width="13.75" style="325" customWidth="1"/>
    <col min="3110" max="3110" width="0.75" style="325" customWidth="1"/>
    <col min="3111" max="3111" width="13.75" style="325" customWidth="1"/>
    <col min="3112" max="3115" width="14.375" style="325" customWidth="1"/>
    <col min="3116" max="3116" width="12.875" style="325" customWidth="1"/>
    <col min="3117" max="3117" width="11" style="325" customWidth="1"/>
    <col min="3118" max="3118" width="13.75" style="325" customWidth="1"/>
    <col min="3119" max="3119" width="0.75" style="325" customWidth="1"/>
    <col min="3120" max="3120" width="13.75" style="325" customWidth="1"/>
    <col min="3121" max="3124" width="14.375" style="325" customWidth="1"/>
    <col min="3125" max="3125" width="12.875" style="325" customWidth="1"/>
    <col min="3126" max="3126" width="11" style="325" customWidth="1"/>
    <col min="3127" max="3127" width="13.75" style="325" customWidth="1"/>
    <col min="3128" max="3181" width="0" style="325" hidden="1" customWidth="1"/>
    <col min="3182" max="3182" width="0.75" style="325" customWidth="1"/>
    <col min="3183" max="3183" width="13.75" style="325" customWidth="1"/>
    <col min="3184" max="3187" width="14.375" style="325" customWidth="1"/>
    <col min="3188" max="3188" width="12.875" style="325" customWidth="1"/>
    <col min="3189" max="3189" width="11" style="325" customWidth="1"/>
    <col min="3190" max="3190" width="13.75" style="325" customWidth="1"/>
    <col min="3191" max="3191" width="17.5" style="325" customWidth="1"/>
    <col min="3192"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1" style="325" customWidth="1"/>
    <col min="3338" max="3338" width="13.75" style="325" customWidth="1"/>
    <col min="3339" max="3339" width="0.75" style="325" customWidth="1"/>
    <col min="3340" max="3340" width="13.75" style="325" customWidth="1"/>
    <col min="3341" max="3344" width="14.375" style="325" customWidth="1"/>
    <col min="3345" max="3345" width="12.875" style="325" customWidth="1"/>
    <col min="3346" max="3346" width="11" style="325" customWidth="1"/>
    <col min="3347" max="3347" width="13.75" style="325" customWidth="1"/>
    <col min="3348" max="3348" width="0.75" style="325" customWidth="1"/>
    <col min="3349" max="3349" width="13.75" style="325" customWidth="1"/>
    <col min="3350" max="3353" width="14.375" style="325" customWidth="1"/>
    <col min="3354" max="3354" width="12.875" style="325" customWidth="1"/>
    <col min="3355" max="3355" width="11" style="325" customWidth="1"/>
    <col min="3356" max="3356" width="13.75" style="325" customWidth="1"/>
    <col min="3357" max="3357" width="0.75" style="325" customWidth="1"/>
    <col min="3358" max="3358" width="13.75" style="325" customWidth="1"/>
    <col min="3359" max="3362" width="14.375" style="325" customWidth="1"/>
    <col min="3363" max="3363" width="12.875" style="325" customWidth="1"/>
    <col min="3364" max="3364" width="11" style="325" customWidth="1"/>
    <col min="3365" max="3365" width="13.75" style="325" customWidth="1"/>
    <col min="3366" max="3366" width="0.75" style="325" customWidth="1"/>
    <col min="3367" max="3367" width="13.75" style="325" customWidth="1"/>
    <col min="3368" max="3371" width="14.375" style="325" customWidth="1"/>
    <col min="3372" max="3372" width="12.875" style="325" customWidth="1"/>
    <col min="3373" max="3373" width="11" style="325" customWidth="1"/>
    <col min="3374" max="3374" width="13.75" style="325" customWidth="1"/>
    <col min="3375" max="3375" width="0.75" style="325" customWidth="1"/>
    <col min="3376" max="3376" width="13.75" style="325" customWidth="1"/>
    <col min="3377" max="3380" width="14.375" style="325" customWidth="1"/>
    <col min="3381" max="3381" width="12.875" style="325" customWidth="1"/>
    <col min="3382" max="3382" width="11" style="325" customWidth="1"/>
    <col min="3383" max="3383" width="13.75" style="325" customWidth="1"/>
    <col min="3384" max="3437" width="0" style="325" hidden="1" customWidth="1"/>
    <col min="3438" max="3438" width="0.75" style="325" customWidth="1"/>
    <col min="3439" max="3439" width="13.75" style="325" customWidth="1"/>
    <col min="3440" max="3443" width="14.375" style="325" customWidth="1"/>
    <col min="3444" max="3444" width="12.875" style="325" customWidth="1"/>
    <col min="3445" max="3445" width="11" style="325" customWidth="1"/>
    <col min="3446" max="3446" width="13.75" style="325" customWidth="1"/>
    <col min="3447" max="3447" width="17.5" style="325" customWidth="1"/>
    <col min="3448"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1" style="325" customWidth="1"/>
    <col min="3594" max="3594" width="13.75" style="325" customWidth="1"/>
    <col min="3595" max="3595" width="0.75" style="325" customWidth="1"/>
    <col min="3596" max="3596" width="13.75" style="325" customWidth="1"/>
    <col min="3597" max="3600" width="14.375" style="325" customWidth="1"/>
    <col min="3601" max="3601" width="12.875" style="325" customWidth="1"/>
    <col min="3602" max="3602" width="11" style="325" customWidth="1"/>
    <col min="3603" max="3603" width="13.75" style="325" customWidth="1"/>
    <col min="3604" max="3604" width="0.75" style="325" customWidth="1"/>
    <col min="3605" max="3605" width="13.75" style="325" customWidth="1"/>
    <col min="3606" max="3609" width="14.375" style="325" customWidth="1"/>
    <col min="3610" max="3610" width="12.875" style="325" customWidth="1"/>
    <col min="3611" max="3611" width="11" style="325" customWidth="1"/>
    <col min="3612" max="3612" width="13.75" style="325" customWidth="1"/>
    <col min="3613" max="3613" width="0.75" style="325" customWidth="1"/>
    <col min="3614" max="3614" width="13.75" style="325" customWidth="1"/>
    <col min="3615" max="3618" width="14.375" style="325" customWidth="1"/>
    <col min="3619" max="3619" width="12.875" style="325" customWidth="1"/>
    <col min="3620" max="3620" width="11" style="325" customWidth="1"/>
    <col min="3621" max="3621" width="13.75" style="325" customWidth="1"/>
    <col min="3622" max="3622" width="0.75" style="325" customWidth="1"/>
    <col min="3623" max="3623" width="13.75" style="325" customWidth="1"/>
    <col min="3624" max="3627" width="14.375" style="325" customWidth="1"/>
    <col min="3628" max="3628" width="12.875" style="325" customWidth="1"/>
    <col min="3629" max="3629" width="11" style="325" customWidth="1"/>
    <col min="3630" max="3630" width="13.75" style="325" customWidth="1"/>
    <col min="3631" max="3631" width="0.75" style="325" customWidth="1"/>
    <col min="3632" max="3632" width="13.75" style="325" customWidth="1"/>
    <col min="3633" max="3636" width="14.375" style="325" customWidth="1"/>
    <col min="3637" max="3637" width="12.875" style="325" customWidth="1"/>
    <col min="3638" max="3638" width="11" style="325" customWidth="1"/>
    <col min="3639" max="3639" width="13.75" style="325" customWidth="1"/>
    <col min="3640" max="3693" width="0" style="325" hidden="1" customWidth="1"/>
    <col min="3694" max="3694" width="0.75" style="325" customWidth="1"/>
    <col min="3695" max="3695" width="13.75" style="325" customWidth="1"/>
    <col min="3696" max="3699" width="14.375" style="325" customWidth="1"/>
    <col min="3700" max="3700" width="12.875" style="325" customWidth="1"/>
    <col min="3701" max="3701" width="11" style="325" customWidth="1"/>
    <col min="3702" max="3702" width="13.75" style="325" customWidth="1"/>
    <col min="3703" max="3703" width="17.5" style="325" customWidth="1"/>
    <col min="3704"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1" style="325" customWidth="1"/>
    <col min="3850" max="3850" width="13.75" style="325" customWidth="1"/>
    <col min="3851" max="3851" width="0.75" style="325" customWidth="1"/>
    <col min="3852" max="3852" width="13.75" style="325" customWidth="1"/>
    <col min="3853" max="3856" width="14.375" style="325" customWidth="1"/>
    <col min="3857" max="3857" width="12.875" style="325" customWidth="1"/>
    <col min="3858" max="3858" width="11" style="325" customWidth="1"/>
    <col min="3859" max="3859" width="13.75" style="325" customWidth="1"/>
    <col min="3860" max="3860" width="0.75" style="325" customWidth="1"/>
    <col min="3861" max="3861" width="13.75" style="325" customWidth="1"/>
    <col min="3862" max="3865" width="14.375" style="325" customWidth="1"/>
    <col min="3866" max="3866" width="12.875" style="325" customWidth="1"/>
    <col min="3867" max="3867" width="11" style="325" customWidth="1"/>
    <col min="3868" max="3868" width="13.75" style="325" customWidth="1"/>
    <col min="3869" max="3869" width="0.75" style="325" customWidth="1"/>
    <col min="3870" max="3870" width="13.75" style="325" customWidth="1"/>
    <col min="3871" max="3874" width="14.375" style="325" customWidth="1"/>
    <col min="3875" max="3875" width="12.875" style="325" customWidth="1"/>
    <col min="3876" max="3876" width="11" style="325" customWidth="1"/>
    <col min="3877" max="3877" width="13.75" style="325" customWidth="1"/>
    <col min="3878" max="3878" width="0.75" style="325" customWidth="1"/>
    <col min="3879" max="3879" width="13.75" style="325" customWidth="1"/>
    <col min="3880" max="3883" width="14.375" style="325" customWidth="1"/>
    <col min="3884" max="3884" width="12.875" style="325" customWidth="1"/>
    <col min="3885" max="3885" width="11" style="325" customWidth="1"/>
    <col min="3886" max="3886" width="13.75" style="325" customWidth="1"/>
    <col min="3887" max="3887" width="0.75" style="325" customWidth="1"/>
    <col min="3888" max="3888" width="13.75" style="325" customWidth="1"/>
    <col min="3889" max="3892" width="14.375" style="325" customWidth="1"/>
    <col min="3893" max="3893" width="12.875" style="325" customWidth="1"/>
    <col min="3894" max="3894" width="11" style="325" customWidth="1"/>
    <col min="3895" max="3895" width="13.75" style="325" customWidth="1"/>
    <col min="3896" max="3949" width="0" style="325" hidden="1" customWidth="1"/>
    <col min="3950" max="3950" width="0.75" style="325" customWidth="1"/>
    <col min="3951" max="3951" width="13.75" style="325" customWidth="1"/>
    <col min="3952" max="3955" width="14.375" style="325" customWidth="1"/>
    <col min="3956" max="3956" width="12.875" style="325" customWidth="1"/>
    <col min="3957" max="3957" width="11" style="325" customWidth="1"/>
    <col min="3958" max="3958" width="13.75" style="325" customWidth="1"/>
    <col min="3959" max="3959" width="17.5" style="325" customWidth="1"/>
    <col min="3960"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1" style="325" customWidth="1"/>
    <col min="4106" max="4106" width="13.75" style="325" customWidth="1"/>
    <col min="4107" max="4107" width="0.75" style="325" customWidth="1"/>
    <col min="4108" max="4108" width="13.75" style="325" customWidth="1"/>
    <col min="4109" max="4112" width="14.375" style="325" customWidth="1"/>
    <col min="4113" max="4113" width="12.875" style="325" customWidth="1"/>
    <col min="4114" max="4114" width="11" style="325" customWidth="1"/>
    <col min="4115" max="4115" width="13.75" style="325" customWidth="1"/>
    <col min="4116" max="4116" width="0.75" style="325" customWidth="1"/>
    <col min="4117" max="4117" width="13.75" style="325" customWidth="1"/>
    <col min="4118" max="4121" width="14.375" style="325" customWidth="1"/>
    <col min="4122" max="4122" width="12.875" style="325" customWidth="1"/>
    <col min="4123" max="4123" width="11" style="325" customWidth="1"/>
    <col min="4124" max="4124" width="13.75" style="325" customWidth="1"/>
    <col min="4125" max="4125" width="0.75" style="325" customWidth="1"/>
    <col min="4126" max="4126" width="13.75" style="325" customWidth="1"/>
    <col min="4127" max="4130" width="14.375" style="325" customWidth="1"/>
    <col min="4131" max="4131" width="12.875" style="325" customWidth="1"/>
    <col min="4132" max="4132" width="11" style="325" customWidth="1"/>
    <col min="4133" max="4133" width="13.75" style="325" customWidth="1"/>
    <col min="4134" max="4134" width="0.75" style="325" customWidth="1"/>
    <col min="4135" max="4135" width="13.75" style="325" customWidth="1"/>
    <col min="4136" max="4139" width="14.375" style="325" customWidth="1"/>
    <col min="4140" max="4140" width="12.875" style="325" customWidth="1"/>
    <col min="4141" max="4141" width="11" style="325" customWidth="1"/>
    <col min="4142" max="4142" width="13.75" style="325" customWidth="1"/>
    <col min="4143" max="4143" width="0.75" style="325" customWidth="1"/>
    <col min="4144" max="4144" width="13.75" style="325" customWidth="1"/>
    <col min="4145" max="4148" width="14.375" style="325" customWidth="1"/>
    <col min="4149" max="4149" width="12.875" style="325" customWidth="1"/>
    <col min="4150" max="4150" width="11" style="325" customWidth="1"/>
    <col min="4151" max="4151" width="13.75" style="325" customWidth="1"/>
    <col min="4152" max="4205" width="0" style="325" hidden="1" customWidth="1"/>
    <col min="4206" max="4206" width="0.75" style="325" customWidth="1"/>
    <col min="4207" max="4207" width="13.75" style="325" customWidth="1"/>
    <col min="4208" max="4211" width="14.375" style="325" customWidth="1"/>
    <col min="4212" max="4212" width="12.875" style="325" customWidth="1"/>
    <col min="4213" max="4213" width="11" style="325" customWidth="1"/>
    <col min="4214" max="4214" width="13.75" style="325" customWidth="1"/>
    <col min="4215" max="4215" width="17.5" style="325" customWidth="1"/>
    <col min="4216"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1" style="325" customWidth="1"/>
    <col min="4362" max="4362" width="13.75" style="325" customWidth="1"/>
    <col min="4363" max="4363" width="0.75" style="325" customWidth="1"/>
    <col min="4364" max="4364" width="13.75" style="325" customWidth="1"/>
    <col min="4365" max="4368" width="14.375" style="325" customWidth="1"/>
    <col min="4369" max="4369" width="12.875" style="325" customWidth="1"/>
    <col min="4370" max="4370" width="11" style="325" customWidth="1"/>
    <col min="4371" max="4371" width="13.75" style="325" customWidth="1"/>
    <col min="4372" max="4372" width="0.75" style="325" customWidth="1"/>
    <col min="4373" max="4373" width="13.75" style="325" customWidth="1"/>
    <col min="4374" max="4377" width="14.375" style="325" customWidth="1"/>
    <col min="4378" max="4378" width="12.875" style="325" customWidth="1"/>
    <col min="4379" max="4379" width="11" style="325" customWidth="1"/>
    <col min="4380" max="4380" width="13.75" style="325" customWidth="1"/>
    <col min="4381" max="4381" width="0.75" style="325" customWidth="1"/>
    <col min="4382" max="4382" width="13.75" style="325" customWidth="1"/>
    <col min="4383" max="4386" width="14.375" style="325" customWidth="1"/>
    <col min="4387" max="4387" width="12.875" style="325" customWidth="1"/>
    <col min="4388" max="4388" width="11" style="325" customWidth="1"/>
    <col min="4389" max="4389" width="13.75" style="325" customWidth="1"/>
    <col min="4390" max="4390" width="0.75" style="325" customWidth="1"/>
    <col min="4391" max="4391" width="13.75" style="325" customWidth="1"/>
    <col min="4392" max="4395" width="14.375" style="325" customWidth="1"/>
    <col min="4396" max="4396" width="12.875" style="325" customWidth="1"/>
    <col min="4397" max="4397" width="11" style="325" customWidth="1"/>
    <col min="4398" max="4398" width="13.75" style="325" customWidth="1"/>
    <col min="4399" max="4399" width="0.75" style="325" customWidth="1"/>
    <col min="4400" max="4400" width="13.75" style="325" customWidth="1"/>
    <col min="4401" max="4404" width="14.375" style="325" customWidth="1"/>
    <col min="4405" max="4405" width="12.875" style="325" customWidth="1"/>
    <col min="4406" max="4406" width="11" style="325" customWidth="1"/>
    <col min="4407" max="4407" width="13.75" style="325" customWidth="1"/>
    <col min="4408" max="4461" width="0" style="325" hidden="1" customWidth="1"/>
    <col min="4462" max="4462" width="0.75" style="325" customWidth="1"/>
    <col min="4463" max="4463" width="13.75" style="325" customWidth="1"/>
    <col min="4464" max="4467" width="14.375" style="325" customWidth="1"/>
    <col min="4468" max="4468" width="12.875" style="325" customWidth="1"/>
    <col min="4469" max="4469" width="11" style="325" customWidth="1"/>
    <col min="4470" max="4470" width="13.75" style="325" customWidth="1"/>
    <col min="4471" max="4471" width="17.5" style="325" customWidth="1"/>
    <col min="4472"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1" style="325" customWidth="1"/>
    <col min="4618" max="4618" width="13.75" style="325" customWidth="1"/>
    <col min="4619" max="4619" width="0.75" style="325" customWidth="1"/>
    <col min="4620" max="4620" width="13.75" style="325" customWidth="1"/>
    <col min="4621" max="4624" width="14.375" style="325" customWidth="1"/>
    <col min="4625" max="4625" width="12.875" style="325" customWidth="1"/>
    <col min="4626" max="4626" width="11" style="325" customWidth="1"/>
    <col min="4627" max="4627" width="13.75" style="325" customWidth="1"/>
    <col min="4628" max="4628" width="0.75" style="325" customWidth="1"/>
    <col min="4629" max="4629" width="13.75" style="325" customWidth="1"/>
    <col min="4630" max="4633" width="14.375" style="325" customWidth="1"/>
    <col min="4634" max="4634" width="12.875" style="325" customWidth="1"/>
    <col min="4635" max="4635" width="11" style="325" customWidth="1"/>
    <col min="4636" max="4636" width="13.75" style="325" customWidth="1"/>
    <col min="4637" max="4637" width="0.75" style="325" customWidth="1"/>
    <col min="4638" max="4638" width="13.75" style="325" customWidth="1"/>
    <col min="4639" max="4642" width="14.375" style="325" customWidth="1"/>
    <col min="4643" max="4643" width="12.875" style="325" customWidth="1"/>
    <col min="4644" max="4644" width="11" style="325" customWidth="1"/>
    <col min="4645" max="4645" width="13.75" style="325" customWidth="1"/>
    <col min="4646" max="4646" width="0.75" style="325" customWidth="1"/>
    <col min="4647" max="4647" width="13.75" style="325" customWidth="1"/>
    <col min="4648" max="4651" width="14.375" style="325" customWidth="1"/>
    <col min="4652" max="4652" width="12.875" style="325" customWidth="1"/>
    <col min="4653" max="4653" width="11" style="325" customWidth="1"/>
    <col min="4654" max="4654" width="13.75" style="325" customWidth="1"/>
    <col min="4655" max="4655" width="0.75" style="325" customWidth="1"/>
    <col min="4656" max="4656" width="13.75" style="325" customWidth="1"/>
    <col min="4657" max="4660" width="14.375" style="325" customWidth="1"/>
    <col min="4661" max="4661" width="12.875" style="325" customWidth="1"/>
    <col min="4662" max="4662" width="11" style="325" customWidth="1"/>
    <col min="4663" max="4663" width="13.75" style="325" customWidth="1"/>
    <col min="4664" max="4717" width="0" style="325" hidden="1" customWidth="1"/>
    <col min="4718" max="4718" width="0.75" style="325" customWidth="1"/>
    <col min="4719" max="4719" width="13.75" style="325" customWidth="1"/>
    <col min="4720" max="4723" width="14.375" style="325" customWidth="1"/>
    <col min="4724" max="4724" width="12.875" style="325" customWidth="1"/>
    <col min="4725" max="4725" width="11" style="325" customWidth="1"/>
    <col min="4726" max="4726" width="13.75" style="325" customWidth="1"/>
    <col min="4727" max="4727" width="17.5" style="325" customWidth="1"/>
    <col min="4728"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1" style="325" customWidth="1"/>
    <col min="4874" max="4874" width="13.75" style="325" customWidth="1"/>
    <col min="4875" max="4875" width="0.75" style="325" customWidth="1"/>
    <col min="4876" max="4876" width="13.75" style="325" customWidth="1"/>
    <col min="4877" max="4880" width="14.375" style="325" customWidth="1"/>
    <col min="4881" max="4881" width="12.875" style="325" customWidth="1"/>
    <col min="4882" max="4882" width="11" style="325" customWidth="1"/>
    <col min="4883" max="4883" width="13.75" style="325" customWidth="1"/>
    <col min="4884" max="4884" width="0.75" style="325" customWidth="1"/>
    <col min="4885" max="4885" width="13.75" style="325" customWidth="1"/>
    <col min="4886" max="4889" width="14.375" style="325" customWidth="1"/>
    <col min="4890" max="4890" width="12.875" style="325" customWidth="1"/>
    <col min="4891" max="4891" width="11" style="325" customWidth="1"/>
    <col min="4892" max="4892" width="13.75" style="325" customWidth="1"/>
    <col min="4893" max="4893" width="0.75" style="325" customWidth="1"/>
    <col min="4894" max="4894" width="13.75" style="325" customWidth="1"/>
    <col min="4895" max="4898" width="14.375" style="325" customWidth="1"/>
    <col min="4899" max="4899" width="12.875" style="325" customWidth="1"/>
    <col min="4900" max="4900" width="11" style="325" customWidth="1"/>
    <col min="4901" max="4901" width="13.75" style="325" customWidth="1"/>
    <col min="4902" max="4902" width="0.75" style="325" customWidth="1"/>
    <col min="4903" max="4903" width="13.75" style="325" customWidth="1"/>
    <col min="4904" max="4907" width="14.375" style="325" customWidth="1"/>
    <col min="4908" max="4908" width="12.875" style="325" customWidth="1"/>
    <col min="4909" max="4909" width="11" style="325" customWidth="1"/>
    <col min="4910" max="4910" width="13.75" style="325" customWidth="1"/>
    <col min="4911" max="4911" width="0.75" style="325" customWidth="1"/>
    <col min="4912" max="4912" width="13.75" style="325" customWidth="1"/>
    <col min="4913" max="4916" width="14.375" style="325" customWidth="1"/>
    <col min="4917" max="4917" width="12.875" style="325" customWidth="1"/>
    <col min="4918" max="4918" width="11" style="325" customWidth="1"/>
    <col min="4919" max="4919" width="13.75" style="325" customWidth="1"/>
    <col min="4920" max="4973" width="0" style="325" hidden="1" customWidth="1"/>
    <col min="4974" max="4974" width="0.75" style="325" customWidth="1"/>
    <col min="4975" max="4975" width="13.75" style="325" customWidth="1"/>
    <col min="4976" max="4979" width="14.375" style="325" customWidth="1"/>
    <col min="4980" max="4980" width="12.875" style="325" customWidth="1"/>
    <col min="4981" max="4981" width="11" style="325" customWidth="1"/>
    <col min="4982" max="4982" width="13.75" style="325" customWidth="1"/>
    <col min="4983" max="4983" width="17.5" style="325" customWidth="1"/>
    <col min="4984"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1" style="325" customWidth="1"/>
    <col min="5130" max="5130" width="13.75" style="325" customWidth="1"/>
    <col min="5131" max="5131" width="0.75" style="325" customWidth="1"/>
    <col min="5132" max="5132" width="13.75" style="325" customWidth="1"/>
    <col min="5133" max="5136" width="14.375" style="325" customWidth="1"/>
    <col min="5137" max="5137" width="12.875" style="325" customWidth="1"/>
    <col min="5138" max="5138" width="11" style="325" customWidth="1"/>
    <col min="5139" max="5139" width="13.75" style="325" customWidth="1"/>
    <col min="5140" max="5140" width="0.75" style="325" customWidth="1"/>
    <col min="5141" max="5141" width="13.75" style="325" customWidth="1"/>
    <col min="5142" max="5145" width="14.375" style="325" customWidth="1"/>
    <col min="5146" max="5146" width="12.875" style="325" customWidth="1"/>
    <col min="5147" max="5147" width="11" style="325" customWidth="1"/>
    <col min="5148" max="5148" width="13.75" style="325" customWidth="1"/>
    <col min="5149" max="5149" width="0.75" style="325" customWidth="1"/>
    <col min="5150" max="5150" width="13.75" style="325" customWidth="1"/>
    <col min="5151" max="5154" width="14.375" style="325" customWidth="1"/>
    <col min="5155" max="5155" width="12.875" style="325" customWidth="1"/>
    <col min="5156" max="5156" width="11" style="325" customWidth="1"/>
    <col min="5157" max="5157" width="13.75" style="325" customWidth="1"/>
    <col min="5158" max="5158" width="0.75" style="325" customWidth="1"/>
    <col min="5159" max="5159" width="13.75" style="325" customWidth="1"/>
    <col min="5160" max="5163" width="14.375" style="325" customWidth="1"/>
    <col min="5164" max="5164" width="12.875" style="325" customWidth="1"/>
    <col min="5165" max="5165" width="11" style="325" customWidth="1"/>
    <col min="5166" max="5166" width="13.75" style="325" customWidth="1"/>
    <col min="5167" max="5167" width="0.75" style="325" customWidth="1"/>
    <col min="5168" max="5168" width="13.75" style="325" customWidth="1"/>
    <col min="5169" max="5172" width="14.375" style="325" customWidth="1"/>
    <col min="5173" max="5173" width="12.875" style="325" customWidth="1"/>
    <col min="5174" max="5174" width="11" style="325" customWidth="1"/>
    <col min="5175" max="5175" width="13.75" style="325" customWidth="1"/>
    <col min="5176" max="5229" width="0" style="325" hidden="1" customWidth="1"/>
    <col min="5230" max="5230" width="0.75" style="325" customWidth="1"/>
    <col min="5231" max="5231" width="13.75" style="325" customWidth="1"/>
    <col min="5232" max="5235" width="14.375" style="325" customWidth="1"/>
    <col min="5236" max="5236" width="12.875" style="325" customWidth="1"/>
    <col min="5237" max="5237" width="11" style="325" customWidth="1"/>
    <col min="5238" max="5238" width="13.75" style="325" customWidth="1"/>
    <col min="5239" max="5239" width="17.5" style="325" customWidth="1"/>
    <col min="5240"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1" style="325" customWidth="1"/>
    <col min="5386" max="5386" width="13.75" style="325" customWidth="1"/>
    <col min="5387" max="5387" width="0.75" style="325" customWidth="1"/>
    <col min="5388" max="5388" width="13.75" style="325" customWidth="1"/>
    <col min="5389" max="5392" width="14.375" style="325" customWidth="1"/>
    <col min="5393" max="5393" width="12.875" style="325" customWidth="1"/>
    <col min="5394" max="5394" width="11" style="325" customWidth="1"/>
    <col min="5395" max="5395" width="13.75" style="325" customWidth="1"/>
    <col min="5396" max="5396" width="0.75" style="325" customWidth="1"/>
    <col min="5397" max="5397" width="13.75" style="325" customWidth="1"/>
    <col min="5398" max="5401" width="14.375" style="325" customWidth="1"/>
    <col min="5402" max="5402" width="12.875" style="325" customWidth="1"/>
    <col min="5403" max="5403" width="11" style="325" customWidth="1"/>
    <col min="5404" max="5404" width="13.75" style="325" customWidth="1"/>
    <col min="5405" max="5405" width="0.75" style="325" customWidth="1"/>
    <col min="5406" max="5406" width="13.75" style="325" customWidth="1"/>
    <col min="5407" max="5410" width="14.375" style="325" customWidth="1"/>
    <col min="5411" max="5411" width="12.875" style="325" customWidth="1"/>
    <col min="5412" max="5412" width="11" style="325" customWidth="1"/>
    <col min="5413" max="5413" width="13.75" style="325" customWidth="1"/>
    <col min="5414" max="5414" width="0.75" style="325" customWidth="1"/>
    <col min="5415" max="5415" width="13.75" style="325" customWidth="1"/>
    <col min="5416" max="5419" width="14.375" style="325" customWidth="1"/>
    <col min="5420" max="5420" width="12.875" style="325" customWidth="1"/>
    <col min="5421" max="5421" width="11" style="325" customWidth="1"/>
    <col min="5422" max="5422" width="13.75" style="325" customWidth="1"/>
    <col min="5423" max="5423" width="0.75" style="325" customWidth="1"/>
    <col min="5424" max="5424" width="13.75" style="325" customWidth="1"/>
    <col min="5425" max="5428" width="14.375" style="325" customWidth="1"/>
    <col min="5429" max="5429" width="12.875" style="325" customWidth="1"/>
    <col min="5430" max="5430" width="11" style="325" customWidth="1"/>
    <col min="5431" max="5431" width="13.75" style="325" customWidth="1"/>
    <col min="5432" max="5485" width="0" style="325" hidden="1" customWidth="1"/>
    <col min="5486" max="5486" width="0.75" style="325" customWidth="1"/>
    <col min="5487" max="5487" width="13.75" style="325" customWidth="1"/>
    <col min="5488" max="5491" width="14.375" style="325" customWidth="1"/>
    <col min="5492" max="5492" width="12.875" style="325" customWidth="1"/>
    <col min="5493" max="5493" width="11" style="325" customWidth="1"/>
    <col min="5494" max="5494" width="13.75" style="325" customWidth="1"/>
    <col min="5495" max="5495" width="17.5" style="325" customWidth="1"/>
    <col min="5496"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1" style="325" customWidth="1"/>
    <col min="5642" max="5642" width="13.75" style="325" customWidth="1"/>
    <col min="5643" max="5643" width="0.75" style="325" customWidth="1"/>
    <col min="5644" max="5644" width="13.75" style="325" customWidth="1"/>
    <col min="5645" max="5648" width="14.375" style="325" customWidth="1"/>
    <col min="5649" max="5649" width="12.875" style="325" customWidth="1"/>
    <col min="5650" max="5650" width="11" style="325" customWidth="1"/>
    <col min="5651" max="5651" width="13.75" style="325" customWidth="1"/>
    <col min="5652" max="5652" width="0.75" style="325" customWidth="1"/>
    <col min="5653" max="5653" width="13.75" style="325" customWidth="1"/>
    <col min="5654" max="5657" width="14.375" style="325" customWidth="1"/>
    <col min="5658" max="5658" width="12.875" style="325" customWidth="1"/>
    <col min="5659" max="5659" width="11" style="325" customWidth="1"/>
    <col min="5660" max="5660" width="13.75" style="325" customWidth="1"/>
    <col min="5661" max="5661" width="0.75" style="325" customWidth="1"/>
    <col min="5662" max="5662" width="13.75" style="325" customWidth="1"/>
    <col min="5663" max="5666" width="14.375" style="325" customWidth="1"/>
    <col min="5667" max="5667" width="12.875" style="325" customWidth="1"/>
    <col min="5668" max="5668" width="11" style="325" customWidth="1"/>
    <col min="5669" max="5669" width="13.75" style="325" customWidth="1"/>
    <col min="5670" max="5670" width="0.75" style="325" customWidth="1"/>
    <col min="5671" max="5671" width="13.75" style="325" customWidth="1"/>
    <col min="5672" max="5675" width="14.375" style="325" customWidth="1"/>
    <col min="5676" max="5676" width="12.875" style="325" customWidth="1"/>
    <col min="5677" max="5677" width="11" style="325" customWidth="1"/>
    <col min="5678" max="5678" width="13.75" style="325" customWidth="1"/>
    <col min="5679" max="5679" width="0.75" style="325" customWidth="1"/>
    <col min="5680" max="5680" width="13.75" style="325" customWidth="1"/>
    <col min="5681" max="5684" width="14.375" style="325" customWidth="1"/>
    <col min="5685" max="5685" width="12.875" style="325" customWidth="1"/>
    <col min="5686" max="5686" width="11" style="325" customWidth="1"/>
    <col min="5687" max="5687" width="13.75" style="325" customWidth="1"/>
    <col min="5688" max="5741" width="0" style="325" hidden="1" customWidth="1"/>
    <col min="5742" max="5742" width="0.75" style="325" customWidth="1"/>
    <col min="5743" max="5743" width="13.75" style="325" customWidth="1"/>
    <col min="5744" max="5747" width="14.375" style="325" customWidth="1"/>
    <col min="5748" max="5748" width="12.875" style="325" customWidth="1"/>
    <col min="5749" max="5749" width="11" style="325" customWidth="1"/>
    <col min="5750" max="5750" width="13.75" style="325" customWidth="1"/>
    <col min="5751" max="5751" width="17.5" style="325" customWidth="1"/>
    <col min="5752"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1" style="325" customWidth="1"/>
    <col min="5898" max="5898" width="13.75" style="325" customWidth="1"/>
    <col min="5899" max="5899" width="0.75" style="325" customWidth="1"/>
    <col min="5900" max="5900" width="13.75" style="325" customWidth="1"/>
    <col min="5901" max="5904" width="14.375" style="325" customWidth="1"/>
    <col min="5905" max="5905" width="12.875" style="325" customWidth="1"/>
    <col min="5906" max="5906" width="11" style="325" customWidth="1"/>
    <col min="5907" max="5907" width="13.75" style="325" customWidth="1"/>
    <col min="5908" max="5908" width="0.75" style="325" customWidth="1"/>
    <col min="5909" max="5909" width="13.75" style="325" customWidth="1"/>
    <col min="5910" max="5913" width="14.375" style="325" customWidth="1"/>
    <col min="5914" max="5914" width="12.875" style="325" customWidth="1"/>
    <col min="5915" max="5915" width="11" style="325" customWidth="1"/>
    <col min="5916" max="5916" width="13.75" style="325" customWidth="1"/>
    <col min="5917" max="5917" width="0.75" style="325" customWidth="1"/>
    <col min="5918" max="5918" width="13.75" style="325" customWidth="1"/>
    <col min="5919" max="5922" width="14.375" style="325" customWidth="1"/>
    <col min="5923" max="5923" width="12.875" style="325" customWidth="1"/>
    <col min="5924" max="5924" width="11" style="325" customWidth="1"/>
    <col min="5925" max="5925" width="13.75" style="325" customWidth="1"/>
    <col min="5926" max="5926" width="0.75" style="325" customWidth="1"/>
    <col min="5927" max="5927" width="13.75" style="325" customWidth="1"/>
    <col min="5928" max="5931" width="14.375" style="325" customWidth="1"/>
    <col min="5932" max="5932" width="12.875" style="325" customWidth="1"/>
    <col min="5933" max="5933" width="11" style="325" customWidth="1"/>
    <col min="5934" max="5934" width="13.75" style="325" customWidth="1"/>
    <col min="5935" max="5935" width="0.75" style="325" customWidth="1"/>
    <col min="5936" max="5936" width="13.75" style="325" customWidth="1"/>
    <col min="5937" max="5940" width="14.375" style="325" customWidth="1"/>
    <col min="5941" max="5941" width="12.875" style="325" customWidth="1"/>
    <col min="5942" max="5942" width="11" style="325" customWidth="1"/>
    <col min="5943" max="5943" width="13.75" style="325" customWidth="1"/>
    <col min="5944" max="5997" width="0" style="325" hidden="1" customWidth="1"/>
    <col min="5998" max="5998" width="0.75" style="325" customWidth="1"/>
    <col min="5999" max="5999" width="13.75" style="325" customWidth="1"/>
    <col min="6000" max="6003" width="14.375" style="325" customWidth="1"/>
    <col min="6004" max="6004" width="12.875" style="325" customWidth="1"/>
    <col min="6005" max="6005" width="11" style="325" customWidth="1"/>
    <col min="6006" max="6006" width="13.75" style="325" customWidth="1"/>
    <col min="6007" max="6007" width="17.5" style="325" customWidth="1"/>
    <col min="6008"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1" style="325" customWidth="1"/>
    <col min="6154" max="6154" width="13.75" style="325" customWidth="1"/>
    <col min="6155" max="6155" width="0.75" style="325" customWidth="1"/>
    <col min="6156" max="6156" width="13.75" style="325" customWidth="1"/>
    <col min="6157" max="6160" width="14.375" style="325" customWidth="1"/>
    <col min="6161" max="6161" width="12.875" style="325" customWidth="1"/>
    <col min="6162" max="6162" width="11" style="325" customWidth="1"/>
    <col min="6163" max="6163" width="13.75" style="325" customWidth="1"/>
    <col min="6164" max="6164" width="0.75" style="325" customWidth="1"/>
    <col min="6165" max="6165" width="13.75" style="325" customWidth="1"/>
    <col min="6166" max="6169" width="14.375" style="325" customWidth="1"/>
    <col min="6170" max="6170" width="12.875" style="325" customWidth="1"/>
    <col min="6171" max="6171" width="11" style="325" customWidth="1"/>
    <col min="6172" max="6172" width="13.75" style="325" customWidth="1"/>
    <col min="6173" max="6173" width="0.75" style="325" customWidth="1"/>
    <col min="6174" max="6174" width="13.75" style="325" customWidth="1"/>
    <col min="6175" max="6178" width="14.375" style="325" customWidth="1"/>
    <col min="6179" max="6179" width="12.875" style="325" customWidth="1"/>
    <col min="6180" max="6180" width="11" style="325" customWidth="1"/>
    <col min="6181" max="6181" width="13.75" style="325" customWidth="1"/>
    <col min="6182" max="6182" width="0.75" style="325" customWidth="1"/>
    <col min="6183" max="6183" width="13.75" style="325" customWidth="1"/>
    <col min="6184" max="6187" width="14.375" style="325" customWidth="1"/>
    <col min="6188" max="6188" width="12.875" style="325" customWidth="1"/>
    <col min="6189" max="6189" width="11" style="325" customWidth="1"/>
    <col min="6190" max="6190" width="13.75" style="325" customWidth="1"/>
    <col min="6191" max="6191" width="0.75" style="325" customWidth="1"/>
    <col min="6192" max="6192" width="13.75" style="325" customWidth="1"/>
    <col min="6193" max="6196" width="14.375" style="325" customWidth="1"/>
    <col min="6197" max="6197" width="12.875" style="325" customWidth="1"/>
    <col min="6198" max="6198" width="11" style="325" customWidth="1"/>
    <col min="6199" max="6199" width="13.75" style="325" customWidth="1"/>
    <col min="6200" max="6253" width="0" style="325" hidden="1" customWidth="1"/>
    <col min="6254" max="6254" width="0.75" style="325" customWidth="1"/>
    <col min="6255" max="6255" width="13.75" style="325" customWidth="1"/>
    <col min="6256" max="6259" width="14.375" style="325" customWidth="1"/>
    <col min="6260" max="6260" width="12.875" style="325" customWidth="1"/>
    <col min="6261" max="6261" width="11" style="325" customWidth="1"/>
    <col min="6262" max="6262" width="13.75" style="325" customWidth="1"/>
    <col min="6263" max="6263" width="17.5" style="325" customWidth="1"/>
    <col min="6264"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1" style="325" customWidth="1"/>
    <col min="6410" max="6410" width="13.75" style="325" customWidth="1"/>
    <col min="6411" max="6411" width="0.75" style="325" customWidth="1"/>
    <col min="6412" max="6412" width="13.75" style="325" customWidth="1"/>
    <col min="6413" max="6416" width="14.375" style="325" customWidth="1"/>
    <col min="6417" max="6417" width="12.875" style="325" customWidth="1"/>
    <col min="6418" max="6418" width="11" style="325" customWidth="1"/>
    <col min="6419" max="6419" width="13.75" style="325" customWidth="1"/>
    <col min="6420" max="6420" width="0.75" style="325" customWidth="1"/>
    <col min="6421" max="6421" width="13.75" style="325" customWidth="1"/>
    <col min="6422" max="6425" width="14.375" style="325" customWidth="1"/>
    <col min="6426" max="6426" width="12.875" style="325" customWidth="1"/>
    <col min="6427" max="6427" width="11" style="325" customWidth="1"/>
    <col min="6428" max="6428" width="13.75" style="325" customWidth="1"/>
    <col min="6429" max="6429" width="0.75" style="325" customWidth="1"/>
    <col min="6430" max="6430" width="13.75" style="325" customWidth="1"/>
    <col min="6431" max="6434" width="14.375" style="325" customWidth="1"/>
    <col min="6435" max="6435" width="12.875" style="325" customWidth="1"/>
    <col min="6436" max="6436" width="11" style="325" customWidth="1"/>
    <col min="6437" max="6437" width="13.75" style="325" customWidth="1"/>
    <col min="6438" max="6438" width="0.75" style="325" customWidth="1"/>
    <col min="6439" max="6439" width="13.75" style="325" customWidth="1"/>
    <col min="6440" max="6443" width="14.375" style="325" customWidth="1"/>
    <col min="6444" max="6444" width="12.875" style="325" customWidth="1"/>
    <col min="6445" max="6445" width="11" style="325" customWidth="1"/>
    <col min="6446" max="6446" width="13.75" style="325" customWidth="1"/>
    <col min="6447" max="6447" width="0.75" style="325" customWidth="1"/>
    <col min="6448" max="6448" width="13.75" style="325" customWidth="1"/>
    <col min="6449" max="6452" width="14.375" style="325" customWidth="1"/>
    <col min="6453" max="6453" width="12.875" style="325" customWidth="1"/>
    <col min="6454" max="6454" width="11" style="325" customWidth="1"/>
    <col min="6455" max="6455" width="13.75" style="325" customWidth="1"/>
    <col min="6456" max="6509" width="0" style="325" hidden="1" customWidth="1"/>
    <col min="6510" max="6510" width="0.75" style="325" customWidth="1"/>
    <col min="6511" max="6511" width="13.75" style="325" customWidth="1"/>
    <col min="6512" max="6515" width="14.375" style="325" customWidth="1"/>
    <col min="6516" max="6516" width="12.875" style="325" customWidth="1"/>
    <col min="6517" max="6517" width="11" style="325" customWidth="1"/>
    <col min="6518" max="6518" width="13.75" style="325" customWidth="1"/>
    <col min="6519" max="6519" width="17.5" style="325" customWidth="1"/>
    <col min="6520"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1" style="325" customWidth="1"/>
    <col min="6666" max="6666" width="13.75" style="325" customWidth="1"/>
    <col min="6667" max="6667" width="0.75" style="325" customWidth="1"/>
    <col min="6668" max="6668" width="13.75" style="325" customWidth="1"/>
    <col min="6669" max="6672" width="14.375" style="325" customWidth="1"/>
    <col min="6673" max="6673" width="12.875" style="325" customWidth="1"/>
    <col min="6674" max="6674" width="11" style="325" customWidth="1"/>
    <col min="6675" max="6675" width="13.75" style="325" customWidth="1"/>
    <col min="6676" max="6676" width="0.75" style="325" customWidth="1"/>
    <col min="6677" max="6677" width="13.75" style="325" customWidth="1"/>
    <col min="6678" max="6681" width="14.375" style="325" customWidth="1"/>
    <col min="6682" max="6682" width="12.875" style="325" customWidth="1"/>
    <col min="6683" max="6683" width="11" style="325" customWidth="1"/>
    <col min="6684" max="6684" width="13.75" style="325" customWidth="1"/>
    <col min="6685" max="6685" width="0.75" style="325" customWidth="1"/>
    <col min="6686" max="6686" width="13.75" style="325" customWidth="1"/>
    <col min="6687" max="6690" width="14.375" style="325" customWidth="1"/>
    <col min="6691" max="6691" width="12.875" style="325" customWidth="1"/>
    <col min="6692" max="6692" width="11" style="325" customWidth="1"/>
    <col min="6693" max="6693" width="13.75" style="325" customWidth="1"/>
    <col min="6694" max="6694" width="0.75" style="325" customWidth="1"/>
    <col min="6695" max="6695" width="13.75" style="325" customWidth="1"/>
    <col min="6696" max="6699" width="14.375" style="325" customWidth="1"/>
    <col min="6700" max="6700" width="12.875" style="325" customWidth="1"/>
    <col min="6701" max="6701" width="11" style="325" customWidth="1"/>
    <col min="6702" max="6702" width="13.75" style="325" customWidth="1"/>
    <col min="6703" max="6703" width="0.75" style="325" customWidth="1"/>
    <col min="6704" max="6704" width="13.75" style="325" customWidth="1"/>
    <col min="6705" max="6708" width="14.375" style="325" customWidth="1"/>
    <col min="6709" max="6709" width="12.875" style="325" customWidth="1"/>
    <col min="6710" max="6710" width="11" style="325" customWidth="1"/>
    <col min="6711" max="6711" width="13.75" style="325" customWidth="1"/>
    <col min="6712" max="6765" width="0" style="325" hidden="1" customWidth="1"/>
    <col min="6766" max="6766" width="0.75" style="325" customWidth="1"/>
    <col min="6767" max="6767" width="13.75" style="325" customWidth="1"/>
    <col min="6768" max="6771" width="14.375" style="325" customWidth="1"/>
    <col min="6772" max="6772" width="12.875" style="325" customWidth="1"/>
    <col min="6773" max="6773" width="11" style="325" customWidth="1"/>
    <col min="6774" max="6774" width="13.75" style="325" customWidth="1"/>
    <col min="6775" max="6775" width="17.5" style="325" customWidth="1"/>
    <col min="6776"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1" style="325" customWidth="1"/>
    <col min="6922" max="6922" width="13.75" style="325" customWidth="1"/>
    <col min="6923" max="6923" width="0.75" style="325" customWidth="1"/>
    <col min="6924" max="6924" width="13.75" style="325" customWidth="1"/>
    <col min="6925" max="6928" width="14.375" style="325" customWidth="1"/>
    <col min="6929" max="6929" width="12.875" style="325" customWidth="1"/>
    <col min="6930" max="6930" width="11" style="325" customWidth="1"/>
    <col min="6931" max="6931" width="13.75" style="325" customWidth="1"/>
    <col min="6932" max="6932" width="0.75" style="325" customWidth="1"/>
    <col min="6933" max="6933" width="13.75" style="325" customWidth="1"/>
    <col min="6934" max="6937" width="14.375" style="325" customWidth="1"/>
    <col min="6938" max="6938" width="12.875" style="325" customWidth="1"/>
    <col min="6939" max="6939" width="11" style="325" customWidth="1"/>
    <col min="6940" max="6940" width="13.75" style="325" customWidth="1"/>
    <col min="6941" max="6941" width="0.75" style="325" customWidth="1"/>
    <col min="6942" max="6942" width="13.75" style="325" customWidth="1"/>
    <col min="6943" max="6946" width="14.375" style="325" customWidth="1"/>
    <col min="6947" max="6947" width="12.875" style="325" customWidth="1"/>
    <col min="6948" max="6948" width="11" style="325" customWidth="1"/>
    <col min="6949" max="6949" width="13.75" style="325" customWidth="1"/>
    <col min="6950" max="6950" width="0.75" style="325" customWidth="1"/>
    <col min="6951" max="6951" width="13.75" style="325" customWidth="1"/>
    <col min="6952" max="6955" width="14.375" style="325" customWidth="1"/>
    <col min="6956" max="6956" width="12.875" style="325" customWidth="1"/>
    <col min="6957" max="6957" width="11" style="325" customWidth="1"/>
    <col min="6958" max="6958" width="13.75" style="325" customWidth="1"/>
    <col min="6959" max="6959" width="0.75" style="325" customWidth="1"/>
    <col min="6960" max="6960" width="13.75" style="325" customWidth="1"/>
    <col min="6961" max="6964" width="14.375" style="325" customWidth="1"/>
    <col min="6965" max="6965" width="12.875" style="325" customWidth="1"/>
    <col min="6966" max="6966" width="11" style="325" customWidth="1"/>
    <col min="6967" max="6967" width="13.75" style="325" customWidth="1"/>
    <col min="6968" max="7021" width="0" style="325" hidden="1" customWidth="1"/>
    <col min="7022" max="7022" width="0.75" style="325" customWidth="1"/>
    <col min="7023" max="7023" width="13.75" style="325" customWidth="1"/>
    <col min="7024" max="7027" width="14.375" style="325" customWidth="1"/>
    <col min="7028" max="7028" width="12.875" style="325" customWidth="1"/>
    <col min="7029" max="7029" width="11" style="325" customWidth="1"/>
    <col min="7030" max="7030" width="13.75" style="325" customWidth="1"/>
    <col min="7031" max="7031" width="17.5" style="325" customWidth="1"/>
    <col min="7032"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1" style="325" customWidth="1"/>
    <col min="7178" max="7178" width="13.75" style="325" customWidth="1"/>
    <col min="7179" max="7179" width="0.75" style="325" customWidth="1"/>
    <col min="7180" max="7180" width="13.75" style="325" customWidth="1"/>
    <col min="7181" max="7184" width="14.375" style="325" customWidth="1"/>
    <col min="7185" max="7185" width="12.875" style="325" customWidth="1"/>
    <col min="7186" max="7186" width="11" style="325" customWidth="1"/>
    <col min="7187" max="7187" width="13.75" style="325" customWidth="1"/>
    <col min="7188" max="7188" width="0.75" style="325" customWidth="1"/>
    <col min="7189" max="7189" width="13.75" style="325" customWidth="1"/>
    <col min="7190" max="7193" width="14.375" style="325" customWidth="1"/>
    <col min="7194" max="7194" width="12.875" style="325" customWidth="1"/>
    <col min="7195" max="7195" width="11" style="325" customWidth="1"/>
    <col min="7196" max="7196" width="13.75" style="325" customWidth="1"/>
    <col min="7197" max="7197" width="0.75" style="325" customWidth="1"/>
    <col min="7198" max="7198" width="13.75" style="325" customWidth="1"/>
    <col min="7199" max="7202" width="14.375" style="325" customWidth="1"/>
    <col min="7203" max="7203" width="12.875" style="325" customWidth="1"/>
    <col min="7204" max="7204" width="11" style="325" customWidth="1"/>
    <col min="7205" max="7205" width="13.75" style="325" customWidth="1"/>
    <col min="7206" max="7206" width="0.75" style="325" customWidth="1"/>
    <col min="7207" max="7207" width="13.75" style="325" customWidth="1"/>
    <col min="7208" max="7211" width="14.375" style="325" customWidth="1"/>
    <col min="7212" max="7212" width="12.875" style="325" customWidth="1"/>
    <col min="7213" max="7213" width="11" style="325" customWidth="1"/>
    <col min="7214" max="7214" width="13.75" style="325" customWidth="1"/>
    <col min="7215" max="7215" width="0.75" style="325" customWidth="1"/>
    <col min="7216" max="7216" width="13.75" style="325" customWidth="1"/>
    <col min="7217" max="7220" width="14.375" style="325" customWidth="1"/>
    <col min="7221" max="7221" width="12.875" style="325" customWidth="1"/>
    <col min="7222" max="7222" width="11" style="325" customWidth="1"/>
    <col min="7223" max="7223" width="13.75" style="325" customWidth="1"/>
    <col min="7224" max="7277" width="0" style="325" hidden="1" customWidth="1"/>
    <col min="7278" max="7278" width="0.75" style="325" customWidth="1"/>
    <col min="7279" max="7279" width="13.75" style="325" customWidth="1"/>
    <col min="7280" max="7283" width="14.375" style="325" customWidth="1"/>
    <col min="7284" max="7284" width="12.875" style="325" customWidth="1"/>
    <col min="7285" max="7285" width="11" style="325" customWidth="1"/>
    <col min="7286" max="7286" width="13.75" style="325" customWidth="1"/>
    <col min="7287" max="7287" width="17.5" style="325" customWidth="1"/>
    <col min="7288"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1" style="325" customWidth="1"/>
    <col min="7434" max="7434" width="13.75" style="325" customWidth="1"/>
    <col min="7435" max="7435" width="0.75" style="325" customWidth="1"/>
    <col min="7436" max="7436" width="13.75" style="325" customWidth="1"/>
    <col min="7437" max="7440" width="14.375" style="325" customWidth="1"/>
    <col min="7441" max="7441" width="12.875" style="325" customWidth="1"/>
    <col min="7442" max="7442" width="11" style="325" customWidth="1"/>
    <col min="7443" max="7443" width="13.75" style="325" customWidth="1"/>
    <col min="7444" max="7444" width="0.75" style="325" customWidth="1"/>
    <col min="7445" max="7445" width="13.75" style="325" customWidth="1"/>
    <col min="7446" max="7449" width="14.375" style="325" customWidth="1"/>
    <col min="7450" max="7450" width="12.875" style="325" customWidth="1"/>
    <col min="7451" max="7451" width="11" style="325" customWidth="1"/>
    <col min="7452" max="7452" width="13.75" style="325" customWidth="1"/>
    <col min="7453" max="7453" width="0.75" style="325" customWidth="1"/>
    <col min="7454" max="7454" width="13.75" style="325" customWidth="1"/>
    <col min="7455" max="7458" width="14.375" style="325" customWidth="1"/>
    <col min="7459" max="7459" width="12.875" style="325" customWidth="1"/>
    <col min="7460" max="7460" width="11" style="325" customWidth="1"/>
    <col min="7461" max="7461" width="13.75" style="325" customWidth="1"/>
    <col min="7462" max="7462" width="0.75" style="325" customWidth="1"/>
    <col min="7463" max="7463" width="13.75" style="325" customWidth="1"/>
    <col min="7464" max="7467" width="14.375" style="325" customWidth="1"/>
    <col min="7468" max="7468" width="12.875" style="325" customWidth="1"/>
    <col min="7469" max="7469" width="11" style="325" customWidth="1"/>
    <col min="7470" max="7470" width="13.75" style="325" customWidth="1"/>
    <col min="7471" max="7471" width="0.75" style="325" customWidth="1"/>
    <col min="7472" max="7472" width="13.75" style="325" customWidth="1"/>
    <col min="7473" max="7476" width="14.375" style="325" customWidth="1"/>
    <col min="7477" max="7477" width="12.875" style="325" customWidth="1"/>
    <col min="7478" max="7478" width="11" style="325" customWidth="1"/>
    <col min="7479" max="7479" width="13.75" style="325" customWidth="1"/>
    <col min="7480" max="7533" width="0" style="325" hidden="1" customWidth="1"/>
    <col min="7534" max="7534" width="0.75" style="325" customWidth="1"/>
    <col min="7535" max="7535" width="13.75" style="325" customWidth="1"/>
    <col min="7536" max="7539" width="14.375" style="325" customWidth="1"/>
    <col min="7540" max="7540" width="12.875" style="325" customWidth="1"/>
    <col min="7541" max="7541" width="11" style="325" customWidth="1"/>
    <col min="7542" max="7542" width="13.75" style="325" customWidth="1"/>
    <col min="7543" max="7543" width="17.5" style="325" customWidth="1"/>
    <col min="7544"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1" style="325" customWidth="1"/>
    <col min="7690" max="7690" width="13.75" style="325" customWidth="1"/>
    <col min="7691" max="7691" width="0.75" style="325" customWidth="1"/>
    <col min="7692" max="7692" width="13.75" style="325" customWidth="1"/>
    <col min="7693" max="7696" width="14.375" style="325" customWidth="1"/>
    <col min="7697" max="7697" width="12.875" style="325" customWidth="1"/>
    <col min="7698" max="7698" width="11" style="325" customWidth="1"/>
    <col min="7699" max="7699" width="13.75" style="325" customWidth="1"/>
    <col min="7700" max="7700" width="0.75" style="325" customWidth="1"/>
    <col min="7701" max="7701" width="13.75" style="325" customWidth="1"/>
    <col min="7702" max="7705" width="14.375" style="325" customWidth="1"/>
    <col min="7706" max="7706" width="12.875" style="325" customWidth="1"/>
    <col min="7707" max="7707" width="11" style="325" customWidth="1"/>
    <col min="7708" max="7708" width="13.75" style="325" customWidth="1"/>
    <col min="7709" max="7709" width="0.75" style="325" customWidth="1"/>
    <col min="7710" max="7710" width="13.75" style="325" customWidth="1"/>
    <col min="7711" max="7714" width="14.375" style="325" customWidth="1"/>
    <col min="7715" max="7715" width="12.875" style="325" customWidth="1"/>
    <col min="7716" max="7716" width="11" style="325" customWidth="1"/>
    <col min="7717" max="7717" width="13.75" style="325" customWidth="1"/>
    <col min="7718" max="7718" width="0.75" style="325" customWidth="1"/>
    <col min="7719" max="7719" width="13.75" style="325" customWidth="1"/>
    <col min="7720" max="7723" width="14.375" style="325" customWidth="1"/>
    <col min="7724" max="7724" width="12.875" style="325" customWidth="1"/>
    <col min="7725" max="7725" width="11" style="325" customWidth="1"/>
    <col min="7726" max="7726" width="13.75" style="325" customWidth="1"/>
    <col min="7727" max="7727" width="0.75" style="325" customWidth="1"/>
    <col min="7728" max="7728" width="13.75" style="325" customWidth="1"/>
    <col min="7729" max="7732" width="14.375" style="325" customWidth="1"/>
    <col min="7733" max="7733" width="12.875" style="325" customWidth="1"/>
    <col min="7734" max="7734" width="11" style="325" customWidth="1"/>
    <col min="7735" max="7735" width="13.75" style="325" customWidth="1"/>
    <col min="7736" max="7789" width="0" style="325" hidden="1" customWidth="1"/>
    <col min="7790" max="7790" width="0.75" style="325" customWidth="1"/>
    <col min="7791" max="7791" width="13.75" style="325" customWidth="1"/>
    <col min="7792" max="7795" width="14.375" style="325" customWidth="1"/>
    <col min="7796" max="7796" width="12.875" style="325" customWidth="1"/>
    <col min="7797" max="7797" width="11" style="325" customWidth="1"/>
    <col min="7798" max="7798" width="13.75" style="325" customWidth="1"/>
    <col min="7799" max="7799" width="17.5" style="325" customWidth="1"/>
    <col min="7800"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1" style="325" customWidth="1"/>
    <col min="7946" max="7946" width="13.75" style="325" customWidth="1"/>
    <col min="7947" max="7947" width="0.75" style="325" customWidth="1"/>
    <col min="7948" max="7948" width="13.75" style="325" customWidth="1"/>
    <col min="7949" max="7952" width="14.375" style="325" customWidth="1"/>
    <col min="7953" max="7953" width="12.875" style="325" customWidth="1"/>
    <col min="7954" max="7954" width="11" style="325" customWidth="1"/>
    <col min="7955" max="7955" width="13.75" style="325" customWidth="1"/>
    <col min="7956" max="7956" width="0.75" style="325" customWidth="1"/>
    <col min="7957" max="7957" width="13.75" style="325" customWidth="1"/>
    <col min="7958" max="7961" width="14.375" style="325" customWidth="1"/>
    <col min="7962" max="7962" width="12.875" style="325" customWidth="1"/>
    <col min="7963" max="7963" width="11" style="325" customWidth="1"/>
    <col min="7964" max="7964" width="13.75" style="325" customWidth="1"/>
    <col min="7965" max="7965" width="0.75" style="325" customWidth="1"/>
    <col min="7966" max="7966" width="13.75" style="325" customWidth="1"/>
    <col min="7967" max="7970" width="14.375" style="325" customWidth="1"/>
    <col min="7971" max="7971" width="12.875" style="325" customWidth="1"/>
    <col min="7972" max="7972" width="11" style="325" customWidth="1"/>
    <col min="7973" max="7973" width="13.75" style="325" customWidth="1"/>
    <col min="7974" max="7974" width="0.75" style="325" customWidth="1"/>
    <col min="7975" max="7975" width="13.75" style="325" customWidth="1"/>
    <col min="7976" max="7979" width="14.375" style="325" customWidth="1"/>
    <col min="7980" max="7980" width="12.875" style="325" customWidth="1"/>
    <col min="7981" max="7981" width="11" style="325" customWidth="1"/>
    <col min="7982" max="7982" width="13.75" style="325" customWidth="1"/>
    <col min="7983" max="7983" width="0.75" style="325" customWidth="1"/>
    <col min="7984" max="7984" width="13.75" style="325" customWidth="1"/>
    <col min="7985" max="7988" width="14.375" style="325" customWidth="1"/>
    <col min="7989" max="7989" width="12.875" style="325" customWidth="1"/>
    <col min="7990" max="7990" width="11" style="325" customWidth="1"/>
    <col min="7991" max="7991" width="13.75" style="325" customWidth="1"/>
    <col min="7992" max="8045" width="0" style="325" hidden="1" customWidth="1"/>
    <col min="8046" max="8046" width="0.75" style="325" customWidth="1"/>
    <col min="8047" max="8047" width="13.75" style="325" customWidth="1"/>
    <col min="8048" max="8051" width="14.375" style="325" customWidth="1"/>
    <col min="8052" max="8052" width="12.875" style="325" customWidth="1"/>
    <col min="8053" max="8053" width="11" style="325" customWidth="1"/>
    <col min="8054" max="8054" width="13.75" style="325" customWidth="1"/>
    <col min="8055" max="8055" width="17.5" style="325" customWidth="1"/>
    <col min="8056"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1" style="325" customWidth="1"/>
    <col min="8202" max="8202" width="13.75" style="325" customWidth="1"/>
    <col min="8203" max="8203" width="0.75" style="325" customWidth="1"/>
    <col min="8204" max="8204" width="13.75" style="325" customWidth="1"/>
    <col min="8205" max="8208" width="14.375" style="325" customWidth="1"/>
    <col min="8209" max="8209" width="12.875" style="325" customWidth="1"/>
    <col min="8210" max="8210" width="11" style="325" customWidth="1"/>
    <col min="8211" max="8211" width="13.75" style="325" customWidth="1"/>
    <col min="8212" max="8212" width="0.75" style="325" customWidth="1"/>
    <col min="8213" max="8213" width="13.75" style="325" customWidth="1"/>
    <col min="8214" max="8217" width="14.375" style="325" customWidth="1"/>
    <col min="8218" max="8218" width="12.875" style="325" customWidth="1"/>
    <col min="8219" max="8219" width="11" style="325" customWidth="1"/>
    <col min="8220" max="8220" width="13.75" style="325" customWidth="1"/>
    <col min="8221" max="8221" width="0.75" style="325" customWidth="1"/>
    <col min="8222" max="8222" width="13.75" style="325" customWidth="1"/>
    <col min="8223" max="8226" width="14.375" style="325" customWidth="1"/>
    <col min="8227" max="8227" width="12.875" style="325" customWidth="1"/>
    <col min="8228" max="8228" width="11" style="325" customWidth="1"/>
    <col min="8229" max="8229" width="13.75" style="325" customWidth="1"/>
    <col min="8230" max="8230" width="0.75" style="325" customWidth="1"/>
    <col min="8231" max="8231" width="13.75" style="325" customWidth="1"/>
    <col min="8232" max="8235" width="14.375" style="325" customWidth="1"/>
    <col min="8236" max="8236" width="12.875" style="325" customWidth="1"/>
    <col min="8237" max="8237" width="11" style="325" customWidth="1"/>
    <col min="8238" max="8238" width="13.75" style="325" customWidth="1"/>
    <col min="8239" max="8239" width="0.75" style="325" customWidth="1"/>
    <col min="8240" max="8240" width="13.75" style="325" customWidth="1"/>
    <col min="8241" max="8244" width="14.375" style="325" customWidth="1"/>
    <col min="8245" max="8245" width="12.875" style="325" customWidth="1"/>
    <col min="8246" max="8246" width="11" style="325" customWidth="1"/>
    <col min="8247" max="8247" width="13.75" style="325" customWidth="1"/>
    <col min="8248" max="8301" width="0" style="325" hidden="1" customWidth="1"/>
    <col min="8302" max="8302" width="0.75" style="325" customWidth="1"/>
    <col min="8303" max="8303" width="13.75" style="325" customWidth="1"/>
    <col min="8304" max="8307" width="14.375" style="325" customWidth="1"/>
    <col min="8308" max="8308" width="12.875" style="325" customWidth="1"/>
    <col min="8309" max="8309" width="11" style="325" customWidth="1"/>
    <col min="8310" max="8310" width="13.75" style="325" customWidth="1"/>
    <col min="8311" max="8311" width="17.5" style="325" customWidth="1"/>
    <col min="8312"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1" style="325" customWidth="1"/>
    <col min="8458" max="8458" width="13.75" style="325" customWidth="1"/>
    <col min="8459" max="8459" width="0.75" style="325" customWidth="1"/>
    <col min="8460" max="8460" width="13.75" style="325" customWidth="1"/>
    <col min="8461" max="8464" width="14.375" style="325" customWidth="1"/>
    <col min="8465" max="8465" width="12.875" style="325" customWidth="1"/>
    <col min="8466" max="8466" width="11" style="325" customWidth="1"/>
    <col min="8467" max="8467" width="13.75" style="325" customWidth="1"/>
    <col min="8468" max="8468" width="0.75" style="325" customWidth="1"/>
    <col min="8469" max="8469" width="13.75" style="325" customWidth="1"/>
    <col min="8470" max="8473" width="14.375" style="325" customWidth="1"/>
    <col min="8474" max="8474" width="12.875" style="325" customWidth="1"/>
    <col min="8475" max="8475" width="11" style="325" customWidth="1"/>
    <col min="8476" max="8476" width="13.75" style="325" customWidth="1"/>
    <col min="8477" max="8477" width="0.75" style="325" customWidth="1"/>
    <col min="8478" max="8478" width="13.75" style="325" customWidth="1"/>
    <col min="8479" max="8482" width="14.375" style="325" customWidth="1"/>
    <col min="8483" max="8483" width="12.875" style="325" customWidth="1"/>
    <col min="8484" max="8484" width="11" style="325" customWidth="1"/>
    <col min="8485" max="8485" width="13.75" style="325" customWidth="1"/>
    <col min="8486" max="8486" width="0.75" style="325" customWidth="1"/>
    <col min="8487" max="8487" width="13.75" style="325" customWidth="1"/>
    <col min="8488" max="8491" width="14.375" style="325" customWidth="1"/>
    <col min="8492" max="8492" width="12.875" style="325" customWidth="1"/>
    <col min="8493" max="8493" width="11" style="325" customWidth="1"/>
    <col min="8494" max="8494" width="13.75" style="325" customWidth="1"/>
    <col min="8495" max="8495" width="0.75" style="325" customWidth="1"/>
    <col min="8496" max="8496" width="13.75" style="325" customWidth="1"/>
    <col min="8497" max="8500" width="14.375" style="325" customWidth="1"/>
    <col min="8501" max="8501" width="12.875" style="325" customWidth="1"/>
    <col min="8502" max="8502" width="11" style="325" customWidth="1"/>
    <col min="8503" max="8503" width="13.75" style="325" customWidth="1"/>
    <col min="8504" max="8557" width="0" style="325" hidden="1" customWidth="1"/>
    <col min="8558" max="8558" width="0.75" style="325" customWidth="1"/>
    <col min="8559" max="8559" width="13.75" style="325" customWidth="1"/>
    <col min="8560" max="8563" width="14.375" style="325" customWidth="1"/>
    <col min="8564" max="8564" width="12.875" style="325" customWidth="1"/>
    <col min="8565" max="8565" width="11" style="325" customWidth="1"/>
    <col min="8566" max="8566" width="13.75" style="325" customWidth="1"/>
    <col min="8567" max="8567" width="17.5" style="325" customWidth="1"/>
    <col min="8568"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1" style="325" customWidth="1"/>
    <col min="8714" max="8714" width="13.75" style="325" customWidth="1"/>
    <col min="8715" max="8715" width="0.75" style="325" customWidth="1"/>
    <col min="8716" max="8716" width="13.75" style="325" customWidth="1"/>
    <col min="8717" max="8720" width="14.375" style="325" customWidth="1"/>
    <col min="8721" max="8721" width="12.875" style="325" customWidth="1"/>
    <col min="8722" max="8722" width="11" style="325" customWidth="1"/>
    <col min="8723" max="8723" width="13.75" style="325" customWidth="1"/>
    <col min="8724" max="8724" width="0.75" style="325" customWidth="1"/>
    <col min="8725" max="8725" width="13.75" style="325" customWidth="1"/>
    <col min="8726" max="8729" width="14.375" style="325" customWidth="1"/>
    <col min="8730" max="8730" width="12.875" style="325" customWidth="1"/>
    <col min="8731" max="8731" width="11" style="325" customWidth="1"/>
    <col min="8732" max="8732" width="13.75" style="325" customWidth="1"/>
    <col min="8733" max="8733" width="0.75" style="325" customWidth="1"/>
    <col min="8734" max="8734" width="13.75" style="325" customWidth="1"/>
    <col min="8735" max="8738" width="14.375" style="325" customWidth="1"/>
    <col min="8739" max="8739" width="12.875" style="325" customWidth="1"/>
    <col min="8740" max="8740" width="11" style="325" customWidth="1"/>
    <col min="8741" max="8741" width="13.75" style="325" customWidth="1"/>
    <col min="8742" max="8742" width="0.75" style="325" customWidth="1"/>
    <col min="8743" max="8743" width="13.75" style="325" customWidth="1"/>
    <col min="8744" max="8747" width="14.375" style="325" customWidth="1"/>
    <col min="8748" max="8748" width="12.875" style="325" customWidth="1"/>
    <col min="8749" max="8749" width="11" style="325" customWidth="1"/>
    <col min="8750" max="8750" width="13.75" style="325" customWidth="1"/>
    <col min="8751" max="8751" width="0.75" style="325" customWidth="1"/>
    <col min="8752" max="8752" width="13.75" style="325" customWidth="1"/>
    <col min="8753" max="8756" width="14.375" style="325" customWidth="1"/>
    <col min="8757" max="8757" width="12.875" style="325" customWidth="1"/>
    <col min="8758" max="8758" width="11" style="325" customWidth="1"/>
    <col min="8759" max="8759" width="13.75" style="325" customWidth="1"/>
    <col min="8760" max="8813" width="0" style="325" hidden="1" customWidth="1"/>
    <col min="8814" max="8814" width="0.75" style="325" customWidth="1"/>
    <col min="8815" max="8815" width="13.75" style="325" customWidth="1"/>
    <col min="8816" max="8819" width="14.375" style="325" customWidth="1"/>
    <col min="8820" max="8820" width="12.875" style="325" customWidth="1"/>
    <col min="8821" max="8821" width="11" style="325" customWidth="1"/>
    <col min="8822" max="8822" width="13.75" style="325" customWidth="1"/>
    <col min="8823" max="8823" width="17.5" style="325" customWidth="1"/>
    <col min="8824"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1" style="325" customWidth="1"/>
    <col min="8970" max="8970" width="13.75" style="325" customWidth="1"/>
    <col min="8971" max="8971" width="0.75" style="325" customWidth="1"/>
    <col min="8972" max="8972" width="13.75" style="325" customWidth="1"/>
    <col min="8973" max="8976" width="14.375" style="325" customWidth="1"/>
    <col min="8977" max="8977" width="12.875" style="325" customWidth="1"/>
    <col min="8978" max="8978" width="11" style="325" customWidth="1"/>
    <col min="8979" max="8979" width="13.75" style="325" customWidth="1"/>
    <col min="8980" max="8980" width="0.75" style="325" customWidth="1"/>
    <col min="8981" max="8981" width="13.75" style="325" customWidth="1"/>
    <col min="8982" max="8985" width="14.375" style="325" customWidth="1"/>
    <col min="8986" max="8986" width="12.875" style="325" customWidth="1"/>
    <col min="8987" max="8987" width="11" style="325" customWidth="1"/>
    <col min="8988" max="8988" width="13.75" style="325" customWidth="1"/>
    <col min="8989" max="8989" width="0.75" style="325" customWidth="1"/>
    <col min="8990" max="8990" width="13.75" style="325" customWidth="1"/>
    <col min="8991" max="8994" width="14.375" style="325" customWidth="1"/>
    <col min="8995" max="8995" width="12.875" style="325" customWidth="1"/>
    <col min="8996" max="8996" width="11" style="325" customWidth="1"/>
    <col min="8997" max="8997" width="13.75" style="325" customWidth="1"/>
    <col min="8998" max="8998" width="0.75" style="325" customWidth="1"/>
    <col min="8999" max="8999" width="13.75" style="325" customWidth="1"/>
    <col min="9000" max="9003" width="14.375" style="325" customWidth="1"/>
    <col min="9004" max="9004" width="12.875" style="325" customWidth="1"/>
    <col min="9005" max="9005" width="11" style="325" customWidth="1"/>
    <col min="9006" max="9006" width="13.75" style="325" customWidth="1"/>
    <col min="9007" max="9007" width="0.75" style="325" customWidth="1"/>
    <col min="9008" max="9008" width="13.75" style="325" customWidth="1"/>
    <col min="9009" max="9012" width="14.375" style="325" customWidth="1"/>
    <col min="9013" max="9013" width="12.875" style="325" customWidth="1"/>
    <col min="9014" max="9014" width="11" style="325" customWidth="1"/>
    <col min="9015" max="9015" width="13.75" style="325" customWidth="1"/>
    <col min="9016" max="9069" width="0" style="325" hidden="1" customWidth="1"/>
    <col min="9070" max="9070" width="0.75" style="325" customWidth="1"/>
    <col min="9071" max="9071" width="13.75" style="325" customWidth="1"/>
    <col min="9072" max="9075" width="14.375" style="325" customWidth="1"/>
    <col min="9076" max="9076" width="12.875" style="325" customWidth="1"/>
    <col min="9077" max="9077" width="11" style="325" customWidth="1"/>
    <col min="9078" max="9078" width="13.75" style="325" customWidth="1"/>
    <col min="9079" max="9079" width="17.5" style="325" customWidth="1"/>
    <col min="9080"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1" style="325" customWidth="1"/>
    <col min="9226" max="9226" width="13.75" style="325" customWidth="1"/>
    <col min="9227" max="9227" width="0.75" style="325" customWidth="1"/>
    <col min="9228" max="9228" width="13.75" style="325" customWidth="1"/>
    <col min="9229" max="9232" width="14.375" style="325" customWidth="1"/>
    <col min="9233" max="9233" width="12.875" style="325" customWidth="1"/>
    <col min="9234" max="9234" width="11" style="325" customWidth="1"/>
    <col min="9235" max="9235" width="13.75" style="325" customWidth="1"/>
    <col min="9236" max="9236" width="0.75" style="325" customWidth="1"/>
    <col min="9237" max="9237" width="13.75" style="325" customWidth="1"/>
    <col min="9238" max="9241" width="14.375" style="325" customWidth="1"/>
    <col min="9242" max="9242" width="12.875" style="325" customWidth="1"/>
    <col min="9243" max="9243" width="11" style="325" customWidth="1"/>
    <col min="9244" max="9244" width="13.75" style="325" customWidth="1"/>
    <col min="9245" max="9245" width="0.75" style="325" customWidth="1"/>
    <col min="9246" max="9246" width="13.75" style="325" customWidth="1"/>
    <col min="9247" max="9250" width="14.375" style="325" customWidth="1"/>
    <col min="9251" max="9251" width="12.875" style="325" customWidth="1"/>
    <col min="9252" max="9252" width="11" style="325" customWidth="1"/>
    <col min="9253" max="9253" width="13.75" style="325" customWidth="1"/>
    <col min="9254" max="9254" width="0.75" style="325" customWidth="1"/>
    <col min="9255" max="9255" width="13.75" style="325" customWidth="1"/>
    <col min="9256" max="9259" width="14.375" style="325" customWidth="1"/>
    <col min="9260" max="9260" width="12.875" style="325" customWidth="1"/>
    <col min="9261" max="9261" width="11" style="325" customWidth="1"/>
    <col min="9262" max="9262" width="13.75" style="325" customWidth="1"/>
    <col min="9263" max="9263" width="0.75" style="325" customWidth="1"/>
    <col min="9264" max="9264" width="13.75" style="325" customWidth="1"/>
    <col min="9265" max="9268" width="14.375" style="325" customWidth="1"/>
    <col min="9269" max="9269" width="12.875" style="325" customWidth="1"/>
    <col min="9270" max="9270" width="11" style="325" customWidth="1"/>
    <col min="9271" max="9271" width="13.75" style="325" customWidth="1"/>
    <col min="9272" max="9325" width="0" style="325" hidden="1" customWidth="1"/>
    <col min="9326" max="9326" width="0.75" style="325" customWidth="1"/>
    <col min="9327" max="9327" width="13.75" style="325" customWidth="1"/>
    <col min="9328" max="9331" width="14.375" style="325" customWidth="1"/>
    <col min="9332" max="9332" width="12.875" style="325" customWidth="1"/>
    <col min="9333" max="9333" width="11" style="325" customWidth="1"/>
    <col min="9334" max="9334" width="13.75" style="325" customWidth="1"/>
    <col min="9335" max="9335" width="17.5" style="325" customWidth="1"/>
    <col min="9336"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1" style="325" customWidth="1"/>
    <col min="9482" max="9482" width="13.75" style="325" customWidth="1"/>
    <col min="9483" max="9483" width="0.75" style="325" customWidth="1"/>
    <col min="9484" max="9484" width="13.75" style="325" customWidth="1"/>
    <col min="9485" max="9488" width="14.375" style="325" customWidth="1"/>
    <col min="9489" max="9489" width="12.875" style="325" customWidth="1"/>
    <col min="9490" max="9490" width="11" style="325" customWidth="1"/>
    <col min="9491" max="9491" width="13.75" style="325" customWidth="1"/>
    <col min="9492" max="9492" width="0.75" style="325" customWidth="1"/>
    <col min="9493" max="9493" width="13.75" style="325" customWidth="1"/>
    <col min="9494" max="9497" width="14.375" style="325" customWidth="1"/>
    <col min="9498" max="9498" width="12.875" style="325" customWidth="1"/>
    <col min="9499" max="9499" width="11" style="325" customWidth="1"/>
    <col min="9500" max="9500" width="13.75" style="325" customWidth="1"/>
    <col min="9501" max="9501" width="0.75" style="325" customWidth="1"/>
    <col min="9502" max="9502" width="13.75" style="325" customWidth="1"/>
    <col min="9503" max="9506" width="14.375" style="325" customWidth="1"/>
    <col min="9507" max="9507" width="12.875" style="325" customWidth="1"/>
    <col min="9508" max="9508" width="11" style="325" customWidth="1"/>
    <col min="9509" max="9509" width="13.75" style="325" customWidth="1"/>
    <col min="9510" max="9510" width="0.75" style="325" customWidth="1"/>
    <col min="9511" max="9511" width="13.75" style="325" customWidth="1"/>
    <col min="9512" max="9515" width="14.375" style="325" customWidth="1"/>
    <col min="9516" max="9516" width="12.875" style="325" customWidth="1"/>
    <col min="9517" max="9517" width="11" style="325" customWidth="1"/>
    <col min="9518" max="9518" width="13.75" style="325" customWidth="1"/>
    <col min="9519" max="9519" width="0.75" style="325" customWidth="1"/>
    <col min="9520" max="9520" width="13.75" style="325" customWidth="1"/>
    <col min="9521" max="9524" width="14.375" style="325" customWidth="1"/>
    <col min="9525" max="9525" width="12.875" style="325" customWidth="1"/>
    <col min="9526" max="9526" width="11" style="325" customWidth="1"/>
    <col min="9527" max="9527" width="13.75" style="325" customWidth="1"/>
    <col min="9528" max="9581" width="0" style="325" hidden="1" customWidth="1"/>
    <col min="9582" max="9582" width="0.75" style="325" customWidth="1"/>
    <col min="9583" max="9583" width="13.75" style="325" customWidth="1"/>
    <col min="9584" max="9587" width="14.375" style="325" customWidth="1"/>
    <col min="9588" max="9588" width="12.875" style="325" customWidth="1"/>
    <col min="9589" max="9589" width="11" style="325" customWidth="1"/>
    <col min="9590" max="9590" width="13.75" style="325" customWidth="1"/>
    <col min="9591" max="9591" width="17.5" style="325" customWidth="1"/>
    <col min="9592"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1" style="325" customWidth="1"/>
    <col min="9738" max="9738" width="13.75" style="325" customWidth="1"/>
    <col min="9739" max="9739" width="0.75" style="325" customWidth="1"/>
    <col min="9740" max="9740" width="13.75" style="325" customWidth="1"/>
    <col min="9741" max="9744" width="14.375" style="325" customWidth="1"/>
    <col min="9745" max="9745" width="12.875" style="325" customWidth="1"/>
    <col min="9746" max="9746" width="11" style="325" customWidth="1"/>
    <col min="9747" max="9747" width="13.75" style="325" customWidth="1"/>
    <col min="9748" max="9748" width="0.75" style="325" customWidth="1"/>
    <col min="9749" max="9749" width="13.75" style="325" customWidth="1"/>
    <col min="9750" max="9753" width="14.375" style="325" customWidth="1"/>
    <col min="9754" max="9754" width="12.875" style="325" customWidth="1"/>
    <col min="9755" max="9755" width="11" style="325" customWidth="1"/>
    <col min="9756" max="9756" width="13.75" style="325" customWidth="1"/>
    <col min="9757" max="9757" width="0.75" style="325" customWidth="1"/>
    <col min="9758" max="9758" width="13.75" style="325" customWidth="1"/>
    <col min="9759" max="9762" width="14.375" style="325" customWidth="1"/>
    <col min="9763" max="9763" width="12.875" style="325" customWidth="1"/>
    <col min="9764" max="9764" width="11" style="325" customWidth="1"/>
    <col min="9765" max="9765" width="13.75" style="325" customWidth="1"/>
    <col min="9766" max="9766" width="0.75" style="325" customWidth="1"/>
    <col min="9767" max="9767" width="13.75" style="325" customWidth="1"/>
    <col min="9768" max="9771" width="14.375" style="325" customWidth="1"/>
    <col min="9772" max="9772" width="12.875" style="325" customWidth="1"/>
    <col min="9773" max="9773" width="11" style="325" customWidth="1"/>
    <col min="9774" max="9774" width="13.75" style="325" customWidth="1"/>
    <col min="9775" max="9775" width="0.75" style="325" customWidth="1"/>
    <col min="9776" max="9776" width="13.75" style="325" customWidth="1"/>
    <col min="9777" max="9780" width="14.375" style="325" customWidth="1"/>
    <col min="9781" max="9781" width="12.875" style="325" customWidth="1"/>
    <col min="9782" max="9782" width="11" style="325" customWidth="1"/>
    <col min="9783" max="9783" width="13.75" style="325" customWidth="1"/>
    <col min="9784" max="9837" width="0" style="325" hidden="1" customWidth="1"/>
    <col min="9838" max="9838" width="0.75" style="325" customWidth="1"/>
    <col min="9839" max="9839" width="13.75" style="325" customWidth="1"/>
    <col min="9840" max="9843" width="14.375" style="325" customWidth="1"/>
    <col min="9844" max="9844" width="12.875" style="325" customWidth="1"/>
    <col min="9845" max="9845" width="11" style="325" customWidth="1"/>
    <col min="9846" max="9846" width="13.75" style="325" customWidth="1"/>
    <col min="9847" max="9847" width="17.5" style="325" customWidth="1"/>
    <col min="9848"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1" style="325" customWidth="1"/>
    <col min="9994" max="9994" width="13.75" style="325" customWidth="1"/>
    <col min="9995" max="9995" width="0.75" style="325" customWidth="1"/>
    <col min="9996" max="9996" width="13.75" style="325" customWidth="1"/>
    <col min="9997" max="10000" width="14.375" style="325" customWidth="1"/>
    <col min="10001" max="10001" width="12.875" style="325" customWidth="1"/>
    <col min="10002" max="10002" width="11" style="325" customWidth="1"/>
    <col min="10003" max="10003" width="13.75" style="325" customWidth="1"/>
    <col min="10004" max="10004" width="0.75" style="325" customWidth="1"/>
    <col min="10005" max="10005" width="13.75" style="325" customWidth="1"/>
    <col min="10006" max="10009" width="14.375" style="325" customWidth="1"/>
    <col min="10010" max="10010" width="12.875" style="325" customWidth="1"/>
    <col min="10011" max="10011" width="11" style="325" customWidth="1"/>
    <col min="10012" max="10012" width="13.75" style="325" customWidth="1"/>
    <col min="10013" max="10013" width="0.75" style="325" customWidth="1"/>
    <col min="10014" max="10014" width="13.75" style="325" customWidth="1"/>
    <col min="10015" max="10018" width="14.375" style="325" customWidth="1"/>
    <col min="10019" max="10019" width="12.875" style="325" customWidth="1"/>
    <col min="10020" max="10020" width="11" style="325" customWidth="1"/>
    <col min="10021" max="10021" width="13.75" style="325" customWidth="1"/>
    <col min="10022" max="10022" width="0.75" style="325" customWidth="1"/>
    <col min="10023" max="10023" width="13.75" style="325" customWidth="1"/>
    <col min="10024" max="10027" width="14.375" style="325" customWidth="1"/>
    <col min="10028" max="10028" width="12.875" style="325" customWidth="1"/>
    <col min="10029" max="10029" width="11" style="325" customWidth="1"/>
    <col min="10030" max="10030" width="13.75" style="325" customWidth="1"/>
    <col min="10031" max="10031" width="0.75" style="325" customWidth="1"/>
    <col min="10032" max="10032" width="13.75" style="325" customWidth="1"/>
    <col min="10033" max="10036" width="14.375" style="325" customWidth="1"/>
    <col min="10037" max="10037" width="12.875" style="325" customWidth="1"/>
    <col min="10038" max="10038" width="11" style="325" customWidth="1"/>
    <col min="10039" max="10039" width="13.75" style="325" customWidth="1"/>
    <col min="10040" max="10093" width="0" style="325" hidden="1" customWidth="1"/>
    <col min="10094" max="10094" width="0.75" style="325" customWidth="1"/>
    <col min="10095" max="10095" width="13.75" style="325" customWidth="1"/>
    <col min="10096" max="10099" width="14.375" style="325" customWidth="1"/>
    <col min="10100" max="10100" width="12.875" style="325" customWidth="1"/>
    <col min="10101" max="10101" width="11" style="325" customWidth="1"/>
    <col min="10102" max="10102" width="13.75" style="325" customWidth="1"/>
    <col min="10103" max="10103" width="17.5" style="325" customWidth="1"/>
    <col min="10104"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1" style="325" customWidth="1"/>
    <col min="10250" max="10250" width="13.75" style="325" customWidth="1"/>
    <col min="10251" max="10251" width="0.75" style="325" customWidth="1"/>
    <col min="10252" max="10252" width="13.75" style="325" customWidth="1"/>
    <col min="10253" max="10256" width="14.375" style="325" customWidth="1"/>
    <col min="10257" max="10257" width="12.875" style="325" customWidth="1"/>
    <col min="10258" max="10258" width="11" style="325" customWidth="1"/>
    <col min="10259" max="10259" width="13.75" style="325" customWidth="1"/>
    <col min="10260" max="10260" width="0.75" style="325" customWidth="1"/>
    <col min="10261" max="10261" width="13.75" style="325" customWidth="1"/>
    <col min="10262" max="10265" width="14.375" style="325" customWidth="1"/>
    <col min="10266" max="10266" width="12.875" style="325" customWidth="1"/>
    <col min="10267" max="10267" width="11" style="325" customWidth="1"/>
    <col min="10268" max="10268" width="13.75" style="325" customWidth="1"/>
    <col min="10269" max="10269" width="0.75" style="325" customWidth="1"/>
    <col min="10270" max="10270" width="13.75" style="325" customWidth="1"/>
    <col min="10271" max="10274" width="14.375" style="325" customWidth="1"/>
    <col min="10275" max="10275" width="12.875" style="325" customWidth="1"/>
    <col min="10276" max="10276" width="11" style="325" customWidth="1"/>
    <col min="10277" max="10277" width="13.75" style="325" customWidth="1"/>
    <col min="10278" max="10278" width="0.75" style="325" customWidth="1"/>
    <col min="10279" max="10279" width="13.75" style="325" customWidth="1"/>
    <col min="10280" max="10283" width="14.375" style="325" customWidth="1"/>
    <col min="10284" max="10284" width="12.875" style="325" customWidth="1"/>
    <col min="10285" max="10285" width="11" style="325" customWidth="1"/>
    <col min="10286" max="10286" width="13.75" style="325" customWidth="1"/>
    <col min="10287" max="10287" width="0.75" style="325" customWidth="1"/>
    <col min="10288" max="10288" width="13.75" style="325" customWidth="1"/>
    <col min="10289" max="10292" width="14.375" style="325" customWidth="1"/>
    <col min="10293" max="10293" width="12.875" style="325" customWidth="1"/>
    <col min="10294" max="10294" width="11" style="325" customWidth="1"/>
    <col min="10295" max="10295" width="13.75" style="325" customWidth="1"/>
    <col min="10296" max="10349" width="0" style="325" hidden="1" customWidth="1"/>
    <col min="10350" max="10350" width="0.75" style="325" customWidth="1"/>
    <col min="10351" max="10351" width="13.75" style="325" customWidth="1"/>
    <col min="10352" max="10355" width="14.375" style="325" customWidth="1"/>
    <col min="10356" max="10356" width="12.875" style="325" customWidth="1"/>
    <col min="10357" max="10357" width="11" style="325" customWidth="1"/>
    <col min="10358" max="10358" width="13.75" style="325" customWidth="1"/>
    <col min="10359" max="10359" width="17.5" style="325" customWidth="1"/>
    <col min="10360"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1" style="325" customWidth="1"/>
    <col min="10506" max="10506" width="13.75" style="325" customWidth="1"/>
    <col min="10507" max="10507" width="0.75" style="325" customWidth="1"/>
    <col min="10508" max="10508" width="13.75" style="325" customWidth="1"/>
    <col min="10509" max="10512" width="14.375" style="325" customWidth="1"/>
    <col min="10513" max="10513" width="12.875" style="325" customWidth="1"/>
    <col min="10514" max="10514" width="11" style="325" customWidth="1"/>
    <col min="10515" max="10515" width="13.75" style="325" customWidth="1"/>
    <col min="10516" max="10516" width="0.75" style="325" customWidth="1"/>
    <col min="10517" max="10517" width="13.75" style="325" customWidth="1"/>
    <col min="10518" max="10521" width="14.375" style="325" customWidth="1"/>
    <col min="10522" max="10522" width="12.875" style="325" customWidth="1"/>
    <col min="10523" max="10523" width="11" style="325" customWidth="1"/>
    <col min="10524" max="10524" width="13.75" style="325" customWidth="1"/>
    <col min="10525" max="10525" width="0.75" style="325" customWidth="1"/>
    <col min="10526" max="10526" width="13.75" style="325" customWidth="1"/>
    <col min="10527" max="10530" width="14.375" style="325" customWidth="1"/>
    <col min="10531" max="10531" width="12.875" style="325" customWidth="1"/>
    <col min="10532" max="10532" width="11" style="325" customWidth="1"/>
    <col min="10533" max="10533" width="13.75" style="325" customWidth="1"/>
    <col min="10534" max="10534" width="0.75" style="325" customWidth="1"/>
    <col min="10535" max="10535" width="13.75" style="325" customWidth="1"/>
    <col min="10536" max="10539" width="14.375" style="325" customWidth="1"/>
    <col min="10540" max="10540" width="12.875" style="325" customWidth="1"/>
    <col min="10541" max="10541" width="11" style="325" customWidth="1"/>
    <col min="10542" max="10542" width="13.75" style="325" customWidth="1"/>
    <col min="10543" max="10543" width="0.75" style="325" customWidth="1"/>
    <col min="10544" max="10544" width="13.75" style="325" customWidth="1"/>
    <col min="10545" max="10548" width="14.375" style="325" customWidth="1"/>
    <col min="10549" max="10549" width="12.875" style="325" customWidth="1"/>
    <col min="10550" max="10550" width="11" style="325" customWidth="1"/>
    <col min="10551" max="10551" width="13.75" style="325" customWidth="1"/>
    <col min="10552" max="10605" width="0" style="325" hidden="1" customWidth="1"/>
    <col min="10606" max="10606" width="0.75" style="325" customWidth="1"/>
    <col min="10607" max="10607" width="13.75" style="325" customWidth="1"/>
    <col min="10608" max="10611" width="14.375" style="325" customWidth="1"/>
    <col min="10612" max="10612" width="12.875" style="325" customWidth="1"/>
    <col min="10613" max="10613" width="11" style="325" customWidth="1"/>
    <col min="10614" max="10614" width="13.75" style="325" customWidth="1"/>
    <col min="10615" max="10615" width="17.5" style="325" customWidth="1"/>
    <col min="10616"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1" style="325" customWidth="1"/>
    <col min="10762" max="10762" width="13.75" style="325" customWidth="1"/>
    <col min="10763" max="10763" width="0.75" style="325" customWidth="1"/>
    <col min="10764" max="10764" width="13.75" style="325" customWidth="1"/>
    <col min="10765" max="10768" width="14.375" style="325" customWidth="1"/>
    <col min="10769" max="10769" width="12.875" style="325" customWidth="1"/>
    <col min="10770" max="10770" width="11" style="325" customWidth="1"/>
    <col min="10771" max="10771" width="13.75" style="325" customWidth="1"/>
    <col min="10772" max="10772" width="0.75" style="325" customWidth="1"/>
    <col min="10773" max="10773" width="13.75" style="325" customWidth="1"/>
    <col min="10774" max="10777" width="14.375" style="325" customWidth="1"/>
    <col min="10778" max="10778" width="12.875" style="325" customWidth="1"/>
    <col min="10779" max="10779" width="11" style="325" customWidth="1"/>
    <col min="10780" max="10780" width="13.75" style="325" customWidth="1"/>
    <col min="10781" max="10781" width="0.75" style="325" customWidth="1"/>
    <col min="10782" max="10782" width="13.75" style="325" customWidth="1"/>
    <col min="10783" max="10786" width="14.375" style="325" customWidth="1"/>
    <col min="10787" max="10787" width="12.875" style="325" customWidth="1"/>
    <col min="10788" max="10788" width="11" style="325" customWidth="1"/>
    <col min="10789" max="10789" width="13.75" style="325" customWidth="1"/>
    <col min="10790" max="10790" width="0.75" style="325" customWidth="1"/>
    <col min="10791" max="10791" width="13.75" style="325" customWidth="1"/>
    <col min="10792" max="10795" width="14.375" style="325" customWidth="1"/>
    <col min="10796" max="10796" width="12.875" style="325" customWidth="1"/>
    <col min="10797" max="10797" width="11" style="325" customWidth="1"/>
    <col min="10798" max="10798" width="13.75" style="325" customWidth="1"/>
    <col min="10799" max="10799" width="0.75" style="325" customWidth="1"/>
    <col min="10800" max="10800" width="13.75" style="325" customWidth="1"/>
    <col min="10801" max="10804" width="14.375" style="325" customWidth="1"/>
    <col min="10805" max="10805" width="12.875" style="325" customWidth="1"/>
    <col min="10806" max="10806" width="11" style="325" customWidth="1"/>
    <col min="10807" max="10807" width="13.75" style="325" customWidth="1"/>
    <col min="10808" max="10861" width="0" style="325" hidden="1" customWidth="1"/>
    <col min="10862" max="10862" width="0.75" style="325" customWidth="1"/>
    <col min="10863" max="10863" width="13.75" style="325" customWidth="1"/>
    <col min="10864" max="10867" width="14.375" style="325" customWidth="1"/>
    <col min="10868" max="10868" width="12.875" style="325" customWidth="1"/>
    <col min="10869" max="10869" width="11" style="325" customWidth="1"/>
    <col min="10870" max="10870" width="13.75" style="325" customWidth="1"/>
    <col min="10871" max="10871" width="17.5" style="325" customWidth="1"/>
    <col min="10872"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1" style="325" customWidth="1"/>
    <col min="11018" max="11018" width="13.75" style="325" customWidth="1"/>
    <col min="11019" max="11019" width="0.75" style="325" customWidth="1"/>
    <col min="11020" max="11020" width="13.75" style="325" customWidth="1"/>
    <col min="11021" max="11024" width="14.375" style="325" customWidth="1"/>
    <col min="11025" max="11025" width="12.875" style="325" customWidth="1"/>
    <col min="11026" max="11026" width="11" style="325" customWidth="1"/>
    <col min="11027" max="11027" width="13.75" style="325" customWidth="1"/>
    <col min="11028" max="11028" width="0.75" style="325" customWidth="1"/>
    <col min="11029" max="11029" width="13.75" style="325" customWidth="1"/>
    <col min="11030" max="11033" width="14.375" style="325" customWidth="1"/>
    <col min="11034" max="11034" width="12.875" style="325" customWidth="1"/>
    <col min="11035" max="11035" width="11" style="325" customWidth="1"/>
    <col min="11036" max="11036" width="13.75" style="325" customWidth="1"/>
    <col min="11037" max="11037" width="0.75" style="325" customWidth="1"/>
    <col min="11038" max="11038" width="13.75" style="325" customWidth="1"/>
    <col min="11039" max="11042" width="14.375" style="325" customWidth="1"/>
    <col min="11043" max="11043" width="12.875" style="325" customWidth="1"/>
    <col min="11044" max="11044" width="11" style="325" customWidth="1"/>
    <col min="11045" max="11045" width="13.75" style="325" customWidth="1"/>
    <col min="11046" max="11046" width="0.75" style="325" customWidth="1"/>
    <col min="11047" max="11047" width="13.75" style="325" customWidth="1"/>
    <col min="11048" max="11051" width="14.375" style="325" customWidth="1"/>
    <col min="11052" max="11052" width="12.875" style="325" customWidth="1"/>
    <col min="11053" max="11053" width="11" style="325" customWidth="1"/>
    <col min="11054" max="11054" width="13.75" style="325" customWidth="1"/>
    <col min="11055" max="11055" width="0.75" style="325" customWidth="1"/>
    <col min="11056" max="11056" width="13.75" style="325" customWidth="1"/>
    <col min="11057" max="11060" width="14.375" style="325" customWidth="1"/>
    <col min="11061" max="11061" width="12.875" style="325" customWidth="1"/>
    <col min="11062" max="11062" width="11" style="325" customWidth="1"/>
    <col min="11063" max="11063" width="13.75" style="325" customWidth="1"/>
    <col min="11064" max="11117" width="0" style="325" hidden="1" customWidth="1"/>
    <col min="11118" max="11118" width="0.75" style="325" customWidth="1"/>
    <col min="11119" max="11119" width="13.75" style="325" customWidth="1"/>
    <col min="11120" max="11123" width="14.375" style="325" customWidth="1"/>
    <col min="11124" max="11124" width="12.875" style="325" customWidth="1"/>
    <col min="11125" max="11125" width="11" style="325" customWidth="1"/>
    <col min="11126" max="11126" width="13.75" style="325" customWidth="1"/>
    <col min="11127" max="11127" width="17.5" style="325" customWidth="1"/>
    <col min="11128"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1" style="325" customWidth="1"/>
    <col min="11274" max="11274" width="13.75" style="325" customWidth="1"/>
    <col min="11275" max="11275" width="0.75" style="325" customWidth="1"/>
    <col min="11276" max="11276" width="13.75" style="325" customWidth="1"/>
    <col min="11277" max="11280" width="14.375" style="325" customWidth="1"/>
    <col min="11281" max="11281" width="12.875" style="325" customWidth="1"/>
    <col min="11282" max="11282" width="11" style="325" customWidth="1"/>
    <col min="11283" max="11283" width="13.75" style="325" customWidth="1"/>
    <col min="11284" max="11284" width="0.75" style="325" customWidth="1"/>
    <col min="11285" max="11285" width="13.75" style="325" customWidth="1"/>
    <col min="11286" max="11289" width="14.375" style="325" customWidth="1"/>
    <col min="11290" max="11290" width="12.875" style="325" customWidth="1"/>
    <col min="11291" max="11291" width="11" style="325" customWidth="1"/>
    <col min="11292" max="11292" width="13.75" style="325" customWidth="1"/>
    <col min="11293" max="11293" width="0.75" style="325" customWidth="1"/>
    <col min="11294" max="11294" width="13.75" style="325" customWidth="1"/>
    <col min="11295" max="11298" width="14.375" style="325" customWidth="1"/>
    <col min="11299" max="11299" width="12.875" style="325" customWidth="1"/>
    <col min="11300" max="11300" width="11" style="325" customWidth="1"/>
    <col min="11301" max="11301" width="13.75" style="325" customWidth="1"/>
    <col min="11302" max="11302" width="0.75" style="325" customWidth="1"/>
    <col min="11303" max="11303" width="13.75" style="325" customWidth="1"/>
    <col min="11304" max="11307" width="14.375" style="325" customWidth="1"/>
    <col min="11308" max="11308" width="12.875" style="325" customWidth="1"/>
    <col min="11309" max="11309" width="11" style="325" customWidth="1"/>
    <col min="11310" max="11310" width="13.75" style="325" customWidth="1"/>
    <col min="11311" max="11311" width="0.75" style="325" customWidth="1"/>
    <col min="11312" max="11312" width="13.75" style="325" customWidth="1"/>
    <col min="11313" max="11316" width="14.375" style="325" customWidth="1"/>
    <col min="11317" max="11317" width="12.875" style="325" customWidth="1"/>
    <col min="11318" max="11318" width="11" style="325" customWidth="1"/>
    <col min="11319" max="11319" width="13.75" style="325" customWidth="1"/>
    <col min="11320" max="11373" width="0" style="325" hidden="1" customWidth="1"/>
    <col min="11374" max="11374" width="0.75" style="325" customWidth="1"/>
    <col min="11375" max="11375" width="13.75" style="325" customWidth="1"/>
    <col min="11376" max="11379" width="14.375" style="325" customWidth="1"/>
    <col min="11380" max="11380" width="12.875" style="325" customWidth="1"/>
    <col min="11381" max="11381" width="11" style="325" customWidth="1"/>
    <col min="11382" max="11382" width="13.75" style="325" customWidth="1"/>
    <col min="11383" max="11383" width="17.5" style="325" customWidth="1"/>
    <col min="11384"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1" style="325" customWidth="1"/>
    <col min="11530" max="11530" width="13.75" style="325" customWidth="1"/>
    <col min="11531" max="11531" width="0.75" style="325" customWidth="1"/>
    <col min="11532" max="11532" width="13.75" style="325" customWidth="1"/>
    <col min="11533" max="11536" width="14.375" style="325" customWidth="1"/>
    <col min="11537" max="11537" width="12.875" style="325" customWidth="1"/>
    <col min="11538" max="11538" width="11" style="325" customWidth="1"/>
    <col min="11539" max="11539" width="13.75" style="325" customWidth="1"/>
    <col min="11540" max="11540" width="0.75" style="325" customWidth="1"/>
    <col min="11541" max="11541" width="13.75" style="325" customWidth="1"/>
    <col min="11542" max="11545" width="14.375" style="325" customWidth="1"/>
    <col min="11546" max="11546" width="12.875" style="325" customWidth="1"/>
    <col min="11547" max="11547" width="11" style="325" customWidth="1"/>
    <col min="11548" max="11548" width="13.75" style="325" customWidth="1"/>
    <col min="11549" max="11549" width="0.75" style="325" customWidth="1"/>
    <col min="11550" max="11550" width="13.75" style="325" customWidth="1"/>
    <col min="11551" max="11554" width="14.375" style="325" customWidth="1"/>
    <col min="11555" max="11555" width="12.875" style="325" customWidth="1"/>
    <col min="11556" max="11556" width="11" style="325" customWidth="1"/>
    <col min="11557" max="11557" width="13.75" style="325" customWidth="1"/>
    <col min="11558" max="11558" width="0.75" style="325" customWidth="1"/>
    <col min="11559" max="11559" width="13.75" style="325" customWidth="1"/>
    <col min="11560" max="11563" width="14.375" style="325" customWidth="1"/>
    <col min="11564" max="11564" width="12.875" style="325" customWidth="1"/>
    <col min="11565" max="11565" width="11" style="325" customWidth="1"/>
    <col min="11566" max="11566" width="13.75" style="325" customWidth="1"/>
    <col min="11567" max="11567" width="0.75" style="325" customWidth="1"/>
    <col min="11568" max="11568" width="13.75" style="325" customWidth="1"/>
    <col min="11569" max="11572" width="14.375" style="325" customWidth="1"/>
    <col min="11573" max="11573" width="12.875" style="325" customWidth="1"/>
    <col min="11574" max="11574" width="11" style="325" customWidth="1"/>
    <col min="11575" max="11575" width="13.75" style="325" customWidth="1"/>
    <col min="11576" max="11629" width="0" style="325" hidden="1" customWidth="1"/>
    <col min="11630" max="11630" width="0.75" style="325" customWidth="1"/>
    <col min="11631" max="11631" width="13.75" style="325" customWidth="1"/>
    <col min="11632" max="11635" width="14.375" style="325" customWidth="1"/>
    <col min="11636" max="11636" width="12.875" style="325" customWidth="1"/>
    <col min="11637" max="11637" width="11" style="325" customWidth="1"/>
    <col min="11638" max="11638" width="13.75" style="325" customWidth="1"/>
    <col min="11639" max="11639" width="17.5" style="325" customWidth="1"/>
    <col min="11640"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1" style="325" customWidth="1"/>
    <col min="11786" max="11786" width="13.75" style="325" customWidth="1"/>
    <col min="11787" max="11787" width="0.75" style="325" customWidth="1"/>
    <col min="11788" max="11788" width="13.75" style="325" customWidth="1"/>
    <col min="11789" max="11792" width="14.375" style="325" customWidth="1"/>
    <col min="11793" max="11793" width="12.875" style="325" customWidth="1"/>
    <col min="11794" max="11794" width="11" style="325" customWidth="1"/>
    <col min="11795" max="11795" width="13.75" style="325" customWidth="1"/>
    <col min="11796" max="11796" width="0.75" style="325" customWidth="1"/>
    <col min="11797" max="11797" width="13.75" style="325" customWidth="1"/>
    <col min="11798" max="11801" width="14.375" style="325" customWidth="1"/>
    <col min="11802" max="11802" width="12.875" style="325" customWidth="1"/>
    <col min="11803" max="11803" width="11" style="325" customWidth="1"/>
    <col min="11804" max="11804" width="13.75" style="325" customWidth="1"/>
    <col min="11805" max="11805" width="0.75" style="325" customWidth="1"/>
    <col min="11806" max="11806" width="13.75" style="325" customWidth="1"/>
    <col min="11807" max="11810" width="14.375" style="325" customWidth="1"/>
    <col min="11811" max="11811" width="12.875" style="325" customWidth="1"/>
    <col min="11812" max="11812" width="11" style="325" customWidth="1"/>
    <col min="11813" max="11813" width="13.75" style="325" customWidth="1"/>
    <col min="11814" max="11814" width="0.75" style="325" customWidth="1"/>
    <col min="11815" max="11815" width="13.75" style="325" customWidth="1"/>
    <col min="11816" max="11819" width="14.375" style="325" customWidth="1"/>
    <col min="11820" max="11820" width="12.875" style="325" customWidth="1"/>
    <col min="11821" max="11821" width="11" style="325" customWidth="1"/>
    <col min="11822" max="11822" width="13.75" style="325" customWidth="1"/>
    <col min="11823" max="11823" width="0.75" style="325" customWidth="1"/>
    <col min="11824" max="11824" width="13.75" style="325" customWidth="1"/>
    <col min="11825" max="11828" width="14.375" style="325" customWidth="1"/>
    <col min="11829" max="11829" width="12.875" style="325" customWidth="1"/>
    <col min="11830" max="11830" width="11" style="325" customWidth="1"/>
    <col min="11831" max="11831" width="13.75" style="325" customWidth="1"/>
    <col min="11832" max="11885" width="0" style="325" hidden="1" customWidth="1"/>
    <col min="11886" max="11886" width="0.75" style="325" customWidth="1"/>
    <col min="11887" max="11887" width="13.75" style="325" customWidth="1"/>
    <col min="11888" max="11891" width="14.375" style="325" customWidth="1"/>
    <col min="11892" max="11892" width="12.875" style="325" customWidth="1"/>
    <col min="11893" max="11893" width="11" style="325" customWidth="1"/>
    <col min="11894" max="11894" width="13.75" style="325" customWidth="1"/>
    <col min="11895" max="11895" width="17.5" style="325" customWidth="1"/>
    <col min="11896"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1" style="325" customWidth="1"/>
    <col min="12042" max="12042" width="13.75" style="325" customWidth="1"/>
    <col min="12043" max="12043" width="0.75" style="325" customWidth="1"/>
    <col min="12044" max="12044" width="13.75" style="325" customWidth="1"/>
    <col min="12045" max="12048" width="14.375" style="325" customWidth="1"/>
    <col min="12049" max="12049" width="12.875" style="325" customWidth="1"/>
    <col min="12050" max="12050" width="11" style="325" customWidth="1"/>
    <col min="12051" max="12051" width="13.75" style="325" customWidth="1"/>
    <col min="12052" max="12052" width="0.75" style="325" customWidth="1"/>
    <col min="12053" max="12053" width="13.75" style="325" customWidth="1"/>
    <col min="12054" max="12057" width="14.375" style="325" customWidth="1"/>
    <col min="12058" max="12058" width="12.875" style="325" customWidth="1"/>
    <col min="12059" max="12059" width="11" style="325" customWidth="1"/>
    <col min="12060" max="12060" width="13.75" style="325" customWidth="1"/>
    <col min="12061" max="12061" width="0.75" style="325" customWidth="1"/>
    <col min="12062" max="12062" width="13.75" style="325" customWidth="1"/>
    <col min="12063" max="12066" width="14.375" style="325" customWidth="1"/>
    <col min="12067" max="12067" width="12.875" style="325" customWidth="1"/>
    <col min="12068" max="12068" width="11" style="325" customWidth="1"/>
    <col min="12069" max="12069" width="13.75" style="325" customWidth="1"/>
    <col min="12070" max="12070" width="0.75" style="325" customWidth="1"/>
    <col min="12071" max="12071" width="13.75" style="325" customWidth="1"/>
    <col min="12072" max="12075" width="14.375" style="325" customWidth="1"/>
    <col min="12076" max="12076" width="12.875" style="325" customWidth="1"/>
    <col min="12077" max="12077" width="11" style="325" customWidth="1"/>
    <col min="12078" max="12078" width="13.75" style="325" customWidth="1"/>
    <col min="12079" max="12079" width="0.75" style="325" customWidth="1"/>
    <col min="12080" max="12080" width="13.75" style="325" customWidth="1"/>
    <col min="12081" max="12084" width="14.375" style="325" customWidth="1"/>
    <col min="12085" max="12085" width="12.875" style="325" customWidth="1"/>
    <col min="12086" max="12086" width="11" style="325" customWidth="1"/>
    <col min="12087" max="12087" width="13.75" style="325" customWidth="1"/>
    <col min="12088" max="12141" width="0" style="325" hidden="1" customWidth="1"/>
    <col min="12142" max="12142" width="0.75" style="325" customWidth="1"/>
    <col min="12143" max="12143" width="13.75" style="325" customWidth="1"/>
    <col min="12144" max="12147" width="14.375" style="325" customWidth="1"/>
    <col min="12148" max="12148" width="12.875" style="325" customWidth="1"/>
    <col min="12149" max="12149" width="11" style="325" customWidth="1"/>
    <col min="12150" max="12150" width="13.75" style="325" customWidth="1"/>
    <col min="12151" max="12151" width="17.5" style="325" customWidth="1"/>
    <col min="12152"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1" style="325" customWidth="1"/>
    <col min="12298" max="12298" width="13.75" style="325" customWidth="1"/>
    <col min="12299" max="12299" width="0.75" style="325" customWidth="1"/>
    <col min="12300" max="12300" width="13.75" style="325" customWidth="1"/>
    <col min="12301" max="12304" width="14.375" style="325" customWidth="1"/>
    <col min="12305" max="12305" width="12.875" style="325" customWidth="1"/>
    <col min="12306" max="12306" width="11" style="325" customWidth="1"/>
    <col min="12307" max="12307" width="13.75" style="325" customWidth="1"/>
    <col min="12308" max="12308" width="0.75" style="325" customWidth="1"/>
    <col min="12309" max="12309" width="13.75" style="325" customWidth="1"/>
    <col min="12310" max="12313" width="14.375" style="325" customWidth="1"/>
    <col min="12314" max="12314" width="12.875" style="325" customWidth="1"/>
    <col min="12315" max="12315" width="11" style="325" customWidth="1"/>
    <col min="12316" max="12316" width="13.75" style="325" customWidth="1"/>
    <col min="12317" max="12317" width="0.75" style="325" customWidth="1"/>
    <col min="12318" max="12318" width="13.75" style="325" customWidth="1"/>
    <col min="12319" max="12322" width="14.375" style="325" customWidth="1"/>
    <col min="12323" max="12323" width="12.875" style="325" customWidth="1"/>
    <col min="12324" max="12324" width="11" style="325" customWidth="1"/>
    <col min="12325" max="12325" width="13.75" style="325" customWidth="1"/>
    <col min="12326" max="12326" width="0.75" style="325" customWidth="1"/>
    <col min="12327" max="12327" width="13.75" style="325" customWidth="1"/>
    <col min="12328" max="12331" width="14.375" style="325" customWidth="1"/>
    <col min="12332" max="12332" width="12.875" style="325" customWidth="1"/>
    <col min="12333" max="12333" width="11" style="325" customWidth="1"/>
    <col min="12334" max="12334" width="13.75" style="325" customWidth="1"/>
    <col min="12335" max="12335" width="0.75" style="325" customWidth="1"/>
    <col min="12336" max="12336" width="13.75" style="325" customWidth="1"/>
    <col min="12337" max="12340" width="14.375" style="325" customWidth="1"/>
    <col min="12341" max="12341" width="12.875" style="325" customWidth="1"/>
    <col min="12342" max="12342" width="11" style="325" customWidth="1"/>
    <col min="12343" max="12343" width="13.75" style="325" customWidth="1"/>
    <col min="12344" max="12397" width="0" style="325" hidden="1" customWidth="1"/>
    <col min="12398" max="12398" width="0.75" style="325" customWidth="1"/>
    <col min="12399" max="12399" width="13.75" style="325" customWidth="1"/>
    <col min="12400" max="12403" width="14.375" style="325" customWidth="1"/>
    <col min="12404" max="12404" width="12.875" style="325" customWidth="1"/>
    <col min="12405" max="12405" width="11" style="325" customWidth="1"/>
    <col min="12406" max="12406" width="13.75" style="325" customWidth="1"/>
    <col min="12407" max="12407" width="17.5" style="325" customWidth="1"/>
    <col min="12408"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1" style="325" customWidth="1"/>
    <col min="12554" max="12554" width="13.75" style="325" customWidth="1"/>
    <col min="12555" max="12555" width="0.75" style="325" customWidth="1"/>
    <col min="12556" max="12556" width="13.75" style="325" customWidth="1"/>
    <col min="12557" max="12560" width="14.375" style="325" customWidth="1"/>
    <col min="12561" max="12561" width="12.875" style="325" customWidth="1"/>
    <col min="12562" max="12562" width="11" style="325" customWidth="1"/>
    <col min="12563" max="12563" width="13.75" style="325" customWidth="1"/>
    <col min="12564" max="12564" width="0.75" style="325" customWidth="1"/>
    <col min="12565" max="12565" width="13.75" style="325" customWidth="1"/>
    <col min="12566" max="12569" width="14.375" style="325" customWidth="1"/>
    <col min="12570" max="12570" width="12.875" style="325" customWidth="1"/>
    <col min="12571" max="12571" width="11" style="325" customWidth="1"/>
    <col min="12572" max="12572" width="13.75" style="325" customWidth="1"/>
    <col min="12573" max="12573" width="0.75" style="325" customWidth="1"/>
    <col min="12574" max="12574" width="13.75" style="325" customWidth="1"/>
    <col min="12575" max="12578" width="14.375" style="325" customWidth="1"/>
    <col min="12579" max="12579" width="12.875" style="325" customWidth="1"/>
    <col min="12580" max="12580" width="11" style="325" customWidth="1"/>
    <col min="12581" max="12581" width="13.75" style="325" customWidth="1"/>
    <col min="12582" max="12582" width="0.75" style="325" customWidth="1"/>
    <col min="12583" max="12583" width="13.75" style="325" customWidth="1"/>
    <col min="12584" max="12587" width="14.375" style="325" customWidth="1"/>
    <col min="12588" max="12588" width="12.875" style="325" customWidth="1"/>
    <col min="12589" max="12589" width="11" style="325" customWidth="1"/>
    <col min="12590" max="12590" width="13.75" style="325" customWidth="1"/>
    <col min="12591" max="12591" width="0.75" style="325" customWidth="1"/>
    <col min="12592" max="12592" width="13.75" style="325" customWidth="1"/>
    <col min="12593" max="12596" width="14.375" style="325" customWidth="1"/>
    <col min="12597" max="12597" width="12.875" style="325" customWidth="1"/>
    <col min="12598" max="12598" width="11" style="325" customWidth="1"/>
    <col min="12599" max="12599" width="13.75" style="325" customWidth="1"/>
    <col min="12600" max="12653" width="0" style="325" hidden="1" customWidth="1"/>
    <col min="12654" max="12654" width="0.75" style="325" customWidth="1"/>
    <col min="12655" max="12655" width="13.75" style="325" customWidth="1"/>
    <col min="12656" max="12659" width="14.375" style="325" customWidth="1"/>
    <col min="12660" max="12660" width="12.875" style="325" customWidth="1"/>
    <col min="12661" max="12661" width="11" style="325" customWidth="1"/>
    <col min="12662" max="12662" width="13.75" style="325" customWidth="1"/>
    <col min="12663" max="12663" width="17.5" style="325" customWidth="1"/>
    <col min="12664"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1" style="325" customWidth="1"/>
    <col min="12810" max="12810" width="13.75" style="325" customWidth="1"/>
    <col min="12811" max="12811" width="0.75" style="325" customWidth="1"/>
    <col min="12812" max="12812" width="13.75" style="325" customWidth="1"/>
    <col min="12813" max="12816" width="14.375" style="325" customWidth="1"/>
    <col min="12817" max="12817" width="12.875" style="325" customWidth="1"/>
    <col min="12818" max="12818" width="11" style="325" customWidth="1"/>
    <col min="12819" max="12819" width="13.75" style="325" customWidth="1"/>
    <col min="12820" max="12820" width="0.75" style="325" customWidth="1"/>
    <col min="12821" max="12821" width="13.75" style="325" customWidth="1"/>
    <col min="12822" max="12825" width="14.375" style="325" customWidth="1"/>
    <col min="12826" max="12826" width="12.875" style="325" customWidth="1"/>
    <col min="12827" max="12827" width="11" style="325" customWidth="1"/>
    <col min="12828" max="12828" width="13.75" style="325" customWidth="1"/>
    <col min="12829" max="12829" width="0.75" style="325" customWidth="1"/>
    <col min="12830" max="12830" width="13.75" style="325" customWidth="1"/>
    <col min="12831" max="12834" width="14.375" style="325" customWidth="1"/>
    <col min="12835" max="12835" width="12.875" style="325" customWidth="1"/>
    <col min="12836" max="12836" width="11" style="325" customWidth="1"/>
    <col min="12837" max="12837" width="13.75" style="325" customWidth="1"/>
    <col min="12838" max="12838" width="0.75" style="325" customWidth="1"/>
    <col min="12839" max="12839" width="13.75" style="325" customWidth="1"/>
    <col min="12840" max="12843" width="14.375" style="325" customWidth="1"/>
    <col min="12844" max="12844" width="12.875" style="325" customWidth="1"/>
    <col min="12845" max="12845" width="11" style="325" customWidth="1"/>
    <col min="12846" max="12846" width="13.75" style="325" customWidth="1"/>
    <col min="12847" max="12847" width="0.75" style="325" customWidth="1"/>
    <col min="12848" max="12848" width="13.75" style="325" customWidth="1"/>
    <col min="12849" max="12852" width="14.375" style="325" customWidth="1"/>
    <col min="12853" max="12853" width="12.875" style="325" customWidth="1"/>
    <col min="12854" max="12854" width="11" style="325" customWidth="1"/>
    <col min="12855" max="12855" width="13.75" style="325" customWidth="1"/>
    <col min="12856" max="12909" width="0" style="325" hidden="1" customWidth="1"/>
    <col min="12910" max="12910" width="0.75" style="325" customWidth="1"/>
    <col min="12911" max="12911" width="13.75" style="325" customWidth="1"/>
    <col min="12912" max="12915" width="14.375" style="325" customWidth="1"/>
    <col min="12916" max="12916" width="12.875" style="325" customWidth="1"/>
    <col min="12917" max="12917" width="11" style="325" customWidth="1"/>
    <col min="12918" max="12918" width="13.75" style="325" customWidth="1"/>
    <col min="12919" max="12919" width="17.5" style="325" customWidth="1"/>
    <col min="12920"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1" style="325" customWidth="1"/>
    <col min="13066" max="13066" width="13.75" style="325" customWidth="1"/>
    <col min="13067" max="13067" width="0.75" style="325" customWidth="1"/>
    <col min="13068" max="13068" width="13.75" style="325" customWidth="1"/>
    <col min="13069" max="13072" width="14.375" style="325" customWidth="1"/>
    <col min="13073" max="13073" width="12.875" style="325" customWidth="1"/>
    <col min="13074" max="13074" width="11" style="325" customWidth="1"/>
    <col min="13075" max="13075" width="13.75" style="325" customWidth="1"/>
    <col min="13076" max="13076" width="0.75" style="325" customWidth="1"/>
    <col min="13077" max="13077" width="13.75" style="325" customWidth="1"/>
    <col min="13078" max="13081" width="14.375" style="325" customWidth="1"/>
    <col min="13082" max="13082" width="12.875" style="325" customWidth="1"/>
    <col min="13083" max="13083" width="11" style="325" customWidth="1"/>
    <col min="13084" max="13084" width="13.75" style="325" customWidth="1"/>
    <col min="13085" max="13085" width="0.75" style="325" customWidth="1"/>
    <col min="13086" max="13086" width="13.75" style="325" customWidth="1"/>
    <col min="13087" max="13090" width="14.375" style="325" customWidth="1"/>
    <col min="13091" max="13091" width="12.875" style="325" customWidth="1"/>
    <col min="13092" max="13092" width="11" style="325" customWidth="1"/>
    <col min="13093" max="13093" width="13.75" style="325" customWidth="1"/>
    <col min="13094" max="13094" width="0.75" style="325" customWidth="1"/>
    <col min="13095" max="13095" width="13.75" style="325" customWidth="1"/>
    <col min="13096" max="13099" width="14.375" style="325" customWidth="1"/>
    <col min="13100" max="13100" width="12.875" style="325" customWidth="1"/>
    <col min="13101" max="13101" width="11" style="325" customWidth="1"/>
    <col min="13102" max="13102" width="13.75" style="325" customWidth="1"/>
    <col min="13103" max="13103" width="0.75" style="325" customWidth="1"/>
    <col min="13104" max="13104" width="13.75" style="325" customWidth="1"/>
    <col min="13105" max="13108" width="14.375" style="325" customWidth="1"/>
    <col min="13109" max="13109" width="12.875" style="325" customWidth="1"/>
    <col min="13110" max="13110" width="11" style="325" customWidth="1"/>
    <col min="13111" max="13111" width="13.75" style="325" customWidth="1"/>
    <col min="13112" max="13165" width="0" style="325" hidden="1" customWidth="1"/>
    <col min="13166" max="13166" width="0.75" style="325" customWidth="1"/>
    <col min="13167" max="13167" width="13.75" style="325" customWidth="1"/>
    <col min="13168" max="13171" width="14.375" style="325" customWidth="1"/>
    <col min="13172" max="13172" width="12.875" style="325" customWidth="1"/>
    <col min="13173" max="13173" width="11" style="325" customWidth="1"/>
    <col min="13174" max="13174" width="13.75" style="325" customWidth="1"/>
    <col min="13175" max="13175" width="17.5" style="325" customWidth="1"/>
    <col min="13176"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1" style="325" customWidth="1"/>
    <col min="13322" max="13322" width="13.75" style="325" customWidth="1"/>
    <col min="13323" max="13323" width="0.75" style="325" customWidth="1"/>
    <col min="13324" max="13324" width="13.75" style="325" customWidth="1"/>
    <col min="13325" max="13328" width="14.375" style="325" customWidth="1"/>
    <col min="13329" max="13329" width="12.875" style="325" customWidth="1"/>
    <col min="13330" max="13330" width="11" style="325" customWidth="1"/>
    <col min="13331" max="13331" width="13.75" style="325" customWidth="1"/>
    <col min="13332" max="13332" width="0.75" style="325" customWidth="1"/>
    <col min="13333" max="13333" width="13.75" style="325" customWidth="1"/>
    <col min="13334" max="13337" width="14.375" style="325" customWidth="1"/>
    <col min="13338" max="13338" width="12.875" style="325" customWidth="1"/>
    <col min="13339" max="13339" width="11" style="325" customWidth="1"/>
    <col min="13340" max="13340" width="13.75" style="325" customWidth="1"/>
    <col min="13341" max="13341" width="0.75" style="325" customWidth="1"/>
    <col min="13342" max="13342" width="13.75" style="325" customWidth="1"/>
    <col min="13343" max="13346" width="14.375" style="325" customWidth="1"/>
    <col min="13347" max="13347" width="12.875" style="325" customWidth="1"/>
    <col min="13348" max="13348" width="11" style="325" customWidth="1"/>
    <col min="13349" max="13349" width="13.75" style="325" customWidth="1"/>
    <col min="13350" max="13350" width="0.75" style="325" customWidth="1"/>
    <col min="13351" max="13351" width="13.75" style="325" customWidth="1"/>
    <col min="13352" max="13355" width="14.375" style="325" customWidth="1"/>
    <col min="13356" max="13356" width="12.875" style="325" customWidth="1"/>
    <col min="13357" max="13357" width="11" style="325" customWidth="1"/>
    <col min="13358" max="13358" width="13.75" style="325" customWidth="1"/>
    <col min="13359" max="13359" width="0.75" style="325" customWidth="1"/>
    <col min="13360" max="13360" width="13.75" style="325" customWidth="1"/>
    <col min="13361" max="13364" width="14.375" style="325" customWidth="1"/>
    <col min="13365" max="13365" width="12.875" style="325" customWidth="1"/>
    <col min="13366" max="13366" width="11" style="325" customWidth="1"/>
    <col min="13367" max="13367" width="13.75" style="325" customWidth="1"/>
    <col min="13368" max="13421" width="0" style="325" hidden="1" customWidth="1"/>
    <col min="13422" max="13422" width="0.75" style="325" customWidth="1"/>
    <col min="13423" max="13423" width="13.75" style="325" customWidth="1"/>
    <col min="13424" max="13427" width="14.375" style="325" customWidth="1"/>
    <col min="13428" max="13428" width="12.875" style="325" customWidth="1"/>
    <col min="13429" max="13429" width="11" style="325" customWidth="1"/>
    <col min="13430" max="13430" width="13.75" style="325" customWidth="1"/>
    <col min="13431" max="13431" width="17.5" style="325" customWidth="1"/>
    <col min="13432"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1" style="325" customWidth="1"/>
    <col min="13578" max="13578" width="13.75" style="325" customWidth="1"/>
    <col min="13579" max="13579" width="0.75" style="325" customWidth="1"/>
    <col min="13580" max="13580" width="13.75" style="325" customWidth="1"/>
    <col min="13581" max="13584" width="14.375" style="325" customWidth="1"/>
    <col min="13585" max="13585" width="12.875" style="325" customWidth="1"/>
    <col min="13586" max="13586" width="11" style="325" customWidth="1"/>
    <col min="13587" max="13587" width="13.75" style="325" customWidth="1"/>
    <col min="13588" max="13588" width="0.75" style="325" customWidth="1"/>
    <col min="13589" max="13589" width="13.75" style="325" customWidth="1"/>
    <col min="13590" max="13593" width="14.375" style="325" customWidth="1"/>
    <col min="13594" max="13594" width="12.875" style="325" customWidth="1"/>
    <col min="13595" max="13595" width="11" style="325" customWidth="1"/>
    <col min="13596" max="13596" width="13.75" style="325" customWidth="1"/>
    <col min="13597" max="13597" width="0.75" style="325" customWidth="1"/>
    <col min="13598" max="13598" width="13.75" style="325" customWidth="1"/>
    <col min="13599" max="13602" width="14.375" style="325" customWidth="1"/>
    <col min="13603" max="13603" width="12.875" style="325" customWidth="1"/>
    <col min="13604" max="13604" width="11" style="325" customWidth="1"/>
    <col min="13605" max="13605" width="13.75" style="325" customWidth="1"/>
    <col min="13606" max="13606" width="0.75" style="325" customWidth="1"/>
    <col min="13607" max="13607" width="13.75" style="325" customWidth="1"/>
    <col min="13608" max="13611" width="14.375" style="325" customWidth="1"/>
    <col min="13612" max="13612" width="12.875" style="325" customWidth="1"/>
    <col min="13613" max="13613" width="11" style="325" customWidth="1"/>
    <col min="13614" max="13614" width="13.75" style="325" customWidth="1"/>
    <col min="13615" max="13615" width="0.75" style="325" customWidth="1"/>
    <col min="13616" max="13616" width="13.75" style="325" customWidth="1"/>
    <col min="13617" max="13620" width="14.375" style="325" customWidth="1"/>
    <col min="13621" max="13621" width="12.875" style="325" customWidth="1"/>
    <col min="13622" max="13622" width="11" style="325" customWidth="1"/>
    <col min="13623" max="13623" width="13.75" style="325" customWidth="1"/>
    <col min="13624" max="13677" width="0" style="325" hidden="1" customWidth="1"/>
    <col min="13678" max="13678" width="0.75" style="325" customWidth="1"/>
    <col min="13679" max="13679" width="13.75" style="325" customWidth="1"/>
    <col min="13680" max="13683" width="14.375" style="325" customWidth="1"/>
    <col min="13684" max="13684" width="12.875" style="325" customWidth="1"/>
    <col min="13685" max="13685" width="11" style="325" customWidth="1"/>
    <col min="13686" max="13686" width="13.75" style="325" customWidth="1"/>
    <col min="13687" max="13687" width="17.5" style="325" customWidth="1"/>
    <col min="13688"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1" style="325" customWidth="1"/>
    <col min="13834" max="13834" width="13.75" style="325" customWidth="1"/>
    <col min="13835" max="13835" width="0.75" style="325" customWidth="1"/>
    <col min="13836" max="13836" width="13.75" style="325" customWidth="1"/>
    <col min="13837" max="13840" width="14.375" style="325" customWidth="1"/>
    <col min="13841" max="13841" width="12.875" style="325" customWidth="1"/>
    <col min="13842" max="13842" width="11" style="325" customWidth="1"/>
    <col min="13843" max="13843" width="13.75" style="325" customWidth="1"/>
    <col min="13844" max="13844" width="0.75" style="325" customWidth="1"/>
    <col min="13845" max="13845" width="13.75" style="325" customWidth="1"/>
    <col min="13846" max="13849" width="14.375" style="325" customWidth="1"/>
    <col min="13850" max="13850" width="12.875" style="325" customWidth="1"/>
    <col min="13851" max="13851" width="11" style="325" customWidth="1"/>
    <col min="13852" max="13852" width="13.75" style="325" customWidth="1"/>
    <col min="13853" max="13853" width="0.75" style="325" customWidth="1"/>
    <col min="13854" max="13854" width="13.75" style="325" customWidth="1"/>
    <col min="13855" max="13858" width="14.375" style="325" customWidth="1"/>
    <col min="13859" max="13859" width="12.875" style="325" customWidth="1"/>
    <col min="13860" max="13860" width="11" style="325" customWidth="1"/>
    <col min="13861" max="13861" width="13.75" style="325" customWidth="1"/>
    <col min="13862" max="13862" width="0.75" style="325" customWidth="1"/>
    <col min="13863" max="13863" width="13.75" style="325" customWidth="1"/>
    <col min="13864" max="13867" width="14.375" style="325" customWidth="1"/>
    <col min="13868" max="13868" width="12.875" style="325" customWidth="1"/>
    <col min="13869" max="13869" width="11" style="325" customWidth="1"/>
    <col min="13870" max="13870" width="13.75" style="325" customWidth="1"/>
    <col min="13871" max="13871" width="0.75" style="325" customWidth="1"/>
    <col min="13872" max="13872" width="13.75" style="325" customWidth="1"/>
    <col min="13873" max="13876" width="14.375" style="325" customWidth="1"/>
    <col min="13877" max="13877" width="12.875" style="325" customWidth="1"/>
    <col min="13878" max="13878" width="11" style="325" customWidth="1"/>
    <col min="13879" max="13879" width="13.75" style="325" customWidth="1"/>
    <col min="13880" max="13933" width="0" style="325" hidden="1" customWidth="1"/>
    <col min="13934" max="13934" width="0.75" style="325" customWidth="1"/>
    <col min="13935" max="13935" width="13.75" style="325" customWidth="1"/>
    <col min="13936" max="13939" width="14.375" style="325" customWidth="1"/>
    <col min="13940" max="13940" width="12.875" style="325" customWidth="1"/>
    <col min="13941" max="13941" width="11" style="325" customWidth="1"/>
    <col min="13942" max="13942" width="13.75" style="325" customWidth="1"/>
    <col min="13943" max="13943" width="17.5" style="325" customWidth="1"/>
    <col min="13944"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1" style="325" customWidth="1"/>
    <col min="14090" max="14090" width="13.75" style="325" customWidth="1"/>
    <col min="14091" max="14091" width="0.75" style="325" customWidth="1"/>
    <col min="14092" max="14092" width="13.75" style="325" customWidth="1"/>
    <col min="14093" max="14096" width="14.375" style="325" customWidth="1"/>
    <col min="14097" max="14097" width="12.875" style="325" customWidth="1"/>
    <col min="14098" max="14098" width="11" style="325" customWidth="1"/>
    <col min="14099" max="14099" width="13.75" style="325" customWidth="1"/>
    <col min="14100" max="14100" width="0.75" style="325" customWidth="1"/>
    <col min="14101" max="14101" width="13.75" style="325" customWidth="1"/>
    <col min="14102" max="14105" width="14.375" style="325" customWidth="1"/>
    <col min="14106" max="14106" width="12.875" style="325" customWidth="1"/>
    <col min="14107" max="14107" width="11" style="325" customWidth="1"/>
    <col min="14108" max="14108" width="13.75" style="325" customWidth="1"/>
    <col min="14109" max="14109" width="0.75" style="325" customWidth="1"/>
    <col min="14110" max="14110" width="13.75" style="325" customWidth="1"/>
    <col min="14111" max="14114" width="14.375" style="325" customWidth="1"/>
    <col min="14115" max="14115" width="12.875" style="325" customWidth="1"/>
    <col min="14116" max="14116" width="11" style="325" customWidth="1"/>
    <col min="14117" max="14117" width="13.75" style="325" customWidth="1"/>
    <col min="14118" max="14118" width="0.75" style="325" customWidth="1"/>
    <col min="14119" max="14119" width="13.75" style="325" customWidth="1"/>
    <col min="14120" max="14123" width="14.375" style="325" customWidth="1"/>
    <col min="14124" max="14124" width="12.875" style="325" customWidth="1"/>
    <col min="14125" max="14125" width="11" style="325" customWidth="1"/>
    <col min="14126" max="14126" width="13.75" style="325" customWidth="1"/>
    <col min="14127" max="14127" width="0.75" style="325" customWidth="1"/>
    <col min="14128" max="14128" width="13.75" style="325" customWidth="1"/>
    <col min="14129" max="14132" width="14.375" style="325" customWidth="1"/>
    <col min="14133" max="14133" width="12.875" style="325" customWidth="1"/>
    <col min="14134" max="14134" width="11" style="325" customWidth="1"/>
    <col min="14135" max="14135" width="13.75" style="325" customWidth="1"/>
    <col min="14136" max="14189" width="0" style="325" hidden="1" customWidth="1"/>
    <col min="14190" max="14190" width="0.75" style="325" customWidth="1"/>
    <col min="14191" max="14191" width="13.75" style="325" customWidth="1"/>
    <col min="14192" max="14195" width="14.375" style="325" customWidth="1"/>
    <col min="14196" max="14196" width="12.875" style="325" customWidth="1"/>
    <col min="14197" max="14197" width="11" style="325" customWidth="1"/>
    <col min="14198" max="14198" width="13.75" style="325" customWidth="1"/>
    <col min="14199" max="14199" width="17.5" style="325" customWidth="1"/>
    <col min="14200"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1" style="325" customWidth="1"/>
    <col min="14346" max="14346" width="13.75" style="325" customWidth="1"/>
    <col min="14347" max="14347" width="0.75" style="325" customWidth="1"/>
    <col min="14348" max="14348" width="13.75" style="325" customWidth="1"/>
    <col min="14349" max="14352" width="14.375" style="325" customWidth="1"/>
    <col min="14353" max="14353" width="12.875" style="325" customWidth="1"/>
    <col min="14354" max="14354" width="11" style="325" customWidth="1"/>
    <col min="14355" max="14355" width="13.75" style="325" customWidth="1"/>
    <col min="14356" max="14356" width="0.75" style="325" customWidth="1"/>
    <col min="14357" max="14357" width="13.75" style="325" customWidth="1"/>
    <col min="14358" max="14361" width="14.375" style="325" customWidth="1"/>
    <col min="14362" max="14362" width="12.875" style="325" customWidth="1"/>
    <col min="14363" max="14363" width="11" style="325" customWidth="1"/>
    <col min="14364" max="14364" width="13.75" style="325" customWidth="1"/>
    <col min="14365" max="14365" width="0.75" style="325" customWidth="1"/>
    <col min="14366" max="14366" width="13.75" style="325" customWidth="1"/>
    <col min="14367" max="14370" width="14.375" style="325" customWidth="1"/>
    <col min="14371" max="14371" width="12.875" style="325" customWidth="1"/>
    <col min="14372" max="14372" width="11" style="325" customWidth="1"/>
    <col min="14373" max="14373" width="13.75" style="325" customWidth="1"/>
    <col min="14374" max="14374" width="0.75" style="325" customWidth="1"/>
    <col min="14375" max="14375" width="13.75" style="325" customWidth="1"/>
    <col min="14376" max="14379" width="14.375" style="325" customWidth="1"/>
    <col min="14380" max="14380" width="12.875" style="325" customWidth="1"/>
    <col min="14381" max="14381" width="11" style="325" customWidth="1"/>
    <col min="14382" max="14382" width="13.75" style="325" customWidth="1"/>
    <col min="14383" max="14383" width="0.75" style="325" customWidth="1"/>
    <col min="14384" max="14384" width="13.75" style="325" customWidth="1"/>
    <col min="14385" max="14388" width="14.375" style="325" customWidth="1"/>
    <col min="14389" max="14389" width="12.875" style="325" customWidth="1"/>
    <col min="14390" max="14390" width="11" style="325" customWidth="1"/>
    <col min="14391" max="14391" width="13.75" style="325" customWidth="1"/>
    <col min="14392" max="14445" width="0" style="325" hidden="1" customWidth="1"/>
    <col min="14446" max="14446" width="0.75" style="325" customWidth="1"/>
    <col min="14447" max="14447" width="13.75" style="325" customWidth="1"/>
    <col min="14448" max="14451" width="14.375" style="325" customWidth="1"/>
    <col min="14452" max="14452" width="12.875" style="325" customWidth="1"/>
    <col min="14453" max="14453" width="11" style="325" customWidth="1"/>
    <col min="14454" max="14454" width="13.75" style="325" customWidth="1"/>
    <col min="14455" max="14455" width="17.5" style="325" customWidth="1"/>
    <col min="14456"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1" style="325" customWidth="1"/>
    <col min="14602" max="14602" width="13.75" style="325" customWidth="1"/>
    <col min="14603" max="14603" width="0.75" style="325" customWidth="1"/>
    <col min="14604" max="14604" width="13.75" style="325" customWidth="1"/>
    <col min="14605" max="14608" width="14.375" style="325" customWidth="1"/>
    <col min="14609" max="14609" width="12.875" style="325" customWidth="1"/>
    <col min="14610" max="14610" width="11" style="325" customWidth="1"/>
    <col min="14611" max="14611" width="13.75" style="325" customWidth="1"/>
    <col min="14612" max="14612" width="0.75" style="325" customWidth="1"/>
    <col min="14613" max="14613" width="13.75" style="325" customWidth="1"/>
    <col min="14614" max="14617" width="14.375" style="325" customWidth="1"/>
    <col min="14618" max="14618" width="12.875" style="325" customWidth="1"/>
    <col min="14619" max="14619" width="11" style="325" customWidth="1"/>
    <col min="14620" max="14620" width="13.75" style="325" customWidth="1"/>
    <col min="14621" max="14621" width="0.75" style="325" customWidth="1"/>
    <col min="14622" max="14622" width="13.75" style="325" customWidth="1"/>
    <col min="14623" max="14626" width="14.375" style="325" customWidth="1"/>
    <col min="14627" max="14627" width="12.875" style="325" customWidth="1"/>
    <col min="14628" max="14628" width="11" style="325" customWidth="1"/>
    <col min="14629" max="14629" width="13.75" style="325" customWidth="1"/>
    <col min="14630" max="14630" width="0.75" style="325" customWidth="1"/>
    <col min="14631" max="14631" width="13.75" style="325" customWidth="1"/>
    <col min="14632" max="14635" width="14.375" style="325" customWidth="1"/>
    <col min="14636" max="14636" width="12.875" style="325" customWidth="1"/>
    <col min="14637" max="14637" width="11" style="325" customWidth="1"/>
    <col min="14638" max="14638" width="13.75" style="325" customWidth="1"/>
    <col min="14639" max="14639" width="0.75" style="325" customWidth="1"/>
    <col min="14640" max="14640" width="13.75" style="325" customWidth="1"/>
    <col min="14641" max="14644" width="14.375" style="325" customWidth="1"/>
    <col min="14645" max="14645" width="12.875" style="325" customWidth="1"/>
    <col min="14646" max="14646" width="11" style="325" customWidth="1"/>
    <col min="14647" max="14647" width="13.75" style="325" customWidth="1"/>
    <col min="14648" max="14701" width="0" style="325" hidden="1" customWidth="1"/>
    <col min="14702" max="14702" width="0.75" style="325" customWidth="1"/>
    <col min="14703" max="14703" width="13.75" style="325" customWidth="1"/>
    <col min="14704" max="14707" width="14.375" style="325" customWidth="1"/>
    <col min="14708" max="14708" width="12.875" style="325" customWidth="1"/>
    <col min="14709" max="14709" width="11" style="325" customWidth="1"/>
    <col min="14710" max="14710" width="13.75" style="325" customWidth="1"/>
    <col min="14711" max="14711" width="17.5" style="325" customWidth="1"/>
    <col min="14712"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1" style="325" customWidth="1"/>
    <col min="14858" max="14858" width="13.75" style="325" customWidth="1"/>
    <col min="14859" max="14859" width="0.75" style="325" customWidth="1"/>
    <col min="14860" max="14860" width="13.75" style="325" customWidth="1"/>
    <col min="14861" max="14864" width="14.375" style="325" customWidth="1"/>
    <col min="14865" max="14865" width="12.875" style="325" customWidth="1"/>
    <col min="14866" max="14866" width="11" style="325" customWidth="1"/>
    <col min="14867" max="14867" width="13.75" style="325" customWidth="1"/>
    <col min="14868" max="14868" width="0.75" style="325" customWidth="1"/>
    <col min="14869" max="14869" width="13.75" style="325" customWidth="1"/>
    <col min="14870" max="14873" width="14.375" style="325" customWidth="1"/>
    <col min="14874" max="14874" width="12.875" style="325" customWidth="1"/>
    <col min="14875" max="14875" width="11" style="325" customWidth="1"/>
    <col min="14876" max="14876" width="13.75" style="325" customWidth="1"/>
    <col min="14877" max="14877" width="0.75" style="325" customWidth="1"/>
    <col min="14878" max="14878" width="13.75" style="325" customWidth="1"/>
    <col min="14879" max="14882" width="14.375" style="325" customWidth="1"/>
    <col min="14883" max="14883" width="12.875" style="325" customWidth="1"/>
    <col min="14884" max="14884" width="11" style="325" customWidth="1"/>
    <col min="14885" max="14885" width="13.75" style="325" customWidth="1"/>
    <col min="14886" max="14886" width="0.75" style="325" customWidth="1"/>
    <col min="14887" max="14887" width="13.75" style="325" customWidth="1"/>
    <col min="14888" max="14891" width="14.375" style="325" customWidth="1"/>
    <col min="14892" max="14892" width="12.875" style="325" customWidth="1"/>
    <col min="14893" max="14893" width="11" style="325" customWidth="1"/>
    <col min="14894" max="14894" width="13.75" style="325" customWidth="1"/>
    <col min="14895" max="14895" width="0.75" style="325" customWidth="1"/>
    <col min="14896" max="14896" width="13.75" style="325" customWidth="1"/>
    <col min="14897" max="14900" width="14.375" style="325" customWidth="1"/>
    <col min="14901" max="14901" width="12.875" style="325" customWidth="1"/>
    <col min="14902" max="14902" width="11" style="325" customWidth="1"/>
    <col min="14903" max="14903" width="13.75" style="325" customWidth="1"/>
    <col min="14904" max="14957" width="0" style="325" hidden="1" customWidth="1"/>
    <col min="14958" max="14958" width="0.75" style="325" customWidth="1"/>
    <col min="14959" max="14959" width="13.75" style="325" customWidth="1"/>
    <col min="14960" max="14963" width="14.375" style="325" customWidth="1"/>
    <col min="14964" max="14964" width="12.875" style="325" customWidth="1"/>
    <col min="14965" max="14965" width="11" style="325" customWidth="1"/>
    <col min="14966" max="14966" width="13.75" style="325" customWidth="1"/>
    <col min="14967" max="14967" width="17.5" style="325" customWidth="1"/>
    <col min="14968"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1" style="325" customWidth="1"/>
    <col min="15114" max="15114" width="13.75" style="325" customWidth="1"/>
    <col min="15115" max="15115" width="0.75" style="325" customWidth="1"/>
    <col min="15116" max="15116" width="13.75" style="325" customWidth="1"/>
    <col min="15117" max="15120" width="14.375" style="325" customWidth="1"/>
    <col min="15121" max="15121" width="12.875" style="325" customWidth="1"/>
    <col min="15122" max="15122" width="11" style="325" customWidth="1"/>
    <col min="15123" max="15123" width="13.75" style="325" customWidth="1"/>
    <col min="15124" max="15124" width="0.75" style="325" customWidth="1"/>
    <col min="15125" max="15125" width="13.75" style="325" customWidth="1"/>
    <col min="15126" max="15129" width="14.375" style="325" customWidth="1"/>
    <col min="15130" max="15130" width="12.875" style="325" customWidth="1"/>
    <col min="15131" max="15131" width="11" style="325" customWidth="1"/>
    <col min="15132" max="15132" width="13.75" style="325" customWidth="1"/>
    <col min="15133" max="15133" width="0.75" style="325" customWidth="1"/>
    <col min="15134" max="15134" width="13.75" style="325" customWidth="1"/>
    <col min="15135" max="15138" width="14.375" style="325" customWidth="1"/>
    <col min="15139" max="15139" width="12.875" style="325" customWidth="1"/>
    <col min="15140" max="15140" width="11" style="325" customWidth="1"/>
    <col min="15141" max="15141" width="13.75" style="325" customWidth="1"/>
    <col min="15142" max="15142" width="0.75" style="325" customWidth="1"/>
    <col min="15143" max="15143" width="13.75" style="325" customWidth="1"/>
    <col min="15144" max="15147" width="14.375" style="325" customWidth="1"/>
    <col min="15148" max="15148" width="12.875" style="325" customWidth="1"/>
    <col min="15149" max="15149" width="11" style="325" customWidth="1"/>
    <col min="15150" max="15150" width="13.75" style="325" customWidth="1"/>
    <col min="15151" max="15151" width="0.75" style="325" customWidth="1"/>
    <col min="15152" max="15152" width="13.75" style="325" customWidth="1"/>
    <col min="15153" max="15156" width="14.375" style="325" customWidth="1"/>
    <col min="15157" max="15157" width="12.875" style="325" customWidth="1"/>
    <col min="15158" max="15158" width="11" style="325" customWidth="1"/>
    <col min="15159" max="15159" width="13.75" style="325" customWidth="1"/>
    <col min="15160" max="15213" width="0" style="325" hidden="1" customWidth="1"/>
    <col min="15214" max="15214" width="0.75" style="325" customWidth="1"/>
    <col min="15215" max="15215" width="13.75" style="325" customWidth="1"/>
    <col min="15216" max="15219" width="14.375" style="325" customWidth="1"/>
    <col min="15220" max="15220" width="12.875" style="325" customWidth="1"/>
    <col min="15221" max="15221" width="11" style="325" customWidth="1"/>
    <col min="15222" max="15222" width="13.75" style="325" customWidth="1"/>
    <col min="15223" max="15223" width="17.5" style="325" customWidth="1"/>
    <col min="15224"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1" style="325" customWidth="1"/>
    <col min="15370" max="15370" width="13.75" style="325" customWidth="1"/>
    <col min="15371" max="15371" width="0.75" style="325" customWidth="1"/>
    <col min="15372" max="15372" width="13.75" style="325" customWidth="1"/>
    <col min="15373" max="15376" width="14.375" style="325" customWidth="1"/>
    <col min="15377" max="15377" width="12.875" style="325" customWidth="1"/>
    <col min="15378" max="15378" width="11" style="325" customWidth="1"/>
    <col min="15379" max="15379" width="13.75" style="325" customWidth="1"/>
    <col min="15380" max="15380" width="0.75" style="325" customWidth="1"/>
    <col min="15381" max="15381" width="13.75" style="325" customWidth="1"/>
    <col min="15382" max="15385" width="14.375" style="325" customWidth="1"/>
    <col min="15386" max="15386" width="12.875" style="325" customWidth="1"/>
    <col min="15387" max="15387" width="11" style="325" customWidth="1"/>
    <col min="15388" max="15388" width="13.75" style="325" customWidth="1"/>
    <col min="15389" max="15389" width="0.75" style="325" customWidth="1"/>
    <col min="15390" max="15390" width="13.75" style="325" customWidth="1"/>
    <col min="15391" max="15394" width="14.375" style="325" customWidth="1"/>
    <col min="15395" max="15395" width="12.875" style="325" customWidth="1"/>
    <col min="15396" max="15396" width="11" style="325" customWidth="1"/>
    <col min="15397" max="15397" width="13.75" style="325" customWidth="1"/>
    <col min="15398" max="15398" width="0.75" style="325" customWidth="1"/>
    <col min="15399" max="15399" width="13.75" style="325" customWidth="1"/>
    <col min="15400" max="15403" width="14.375" style="325" customWidth="1"/>
    <col min="15404" max="15404" width="12.875" style="325" customWidth="1"/>
    <col min="15405" max="15405" width="11" style="325" customWidth="1"/>
    <col min="15406" max="15406" width="13.75" style="325" customWidth="1"/>
    <col min="15407" max="15407" width="0.75" style="325" customWidth="1"/>
    <col min="15408" max="15408" width="13.75" style="325" customWidth="1"/>
    <col min="15409" max="15412" width="14.375" style="325" customWidth="1"/>
    <col min="15413" max="15413" width="12.875" style="325" customWidth="1"/>
    <col min="15414" max="15414" width="11" style="325" customWidth="1"/>
    <col min="15415" max="15415" width="13.75" style="325" customWidth="1"/>
    <col min="15416" max="15469" width="0" style="325" hidden="1" customWidth="1"/>
    <col min="15470" max="15470" width="0.75" style="325" customWidth="1"/>
    <col min="15471" max="15471" width="13.75" style="325" customWidth="1"/>
    <col min="15472" max="15475" width="14.375" style="325" customWidth="1"/>
    <col min="15476" max="15476" width="12.875" style="325" customWidth="1"/>
    <col min="15477" max="15477" width="11" style="325" customWidth="1"/>
    <col min="15478" max="15478" width="13.75" style="325" customWidth="1"/>
    <col min="15479" max="15479" width="17.5" style="325" customWidth="1"/>
    <col min="15480"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1" style="325" customWidth="1"/>
    <col min="15626" max="15626" width="13.75" style="325" customWidth="1"/>
    <col min="15627" max="15627" width="0.75" style="325" customWidth="1"/>
    <col min="15628" max="15628" width="13.75" style="325" customWidth="1"/>
    <col min="15629" max="15632" width="14.375" style="325" customWidth="1"/>
    <col min="15633" max="15633" width="12.875" style="325" customWidth="1"/>
    <col min="15634" max="15634" width="11" style="325" customWidth="1"/>
    <col min="15635" max="15635" width="13.75" style="325" customWidth="1"/>
    <col min="15636" max="15636" width="0.75" style="325" customWidth="1"/>
    <col min="15637" max="15637" width="13.75" style="325" customWidth="1"/>
    <col min="15638" max="15641" width="14.375" style="325" customWidth="1"/>
    <col min="15642" max="15642" width="12.875" style="325" customWidth="1"/>
    <col min="15643" max="15643" width="11" style="325" customWidth="1"/>
    <col min="15644" max="15644" width="13.75" style="325" customWidth="1"/>
    <col min="15645" max="15645" width="0.75" style="325" customWidth="1"/>
    <col min="15646" max="15646" width="13.75" style="325" customWidth="1"/>
    <col min="15647" max="15650" width="14.375" style="325" customWidth="1"/>
    <col min="15651" max="15651" width="12.875" style="325" customWidth="1"/>
    <col min="15652" max="15652" width="11" style="325" customWidth="1"/>
    <col min="15653" max="15653" width="13.75" style="325" customWidth="1"/>
    <col min="15654" max="15654" width="0.75" style="325" customWidth="1"/>
    <col min="15655" max="15655" width="13.75" style="325" customWidth="1"/>
    <col min="15656" max="15659" width="14.375" style="325" customWidth="1"/>
    <col min="15660" max="15660" width="12.875" style="325" customWidth="1"/>
    <col min="15661" max="15661" width="11" style="325" customWidth="1"/>
    <col min="15662" max="15662" width="13.75" style="325" customWidth="1"/>
    <col min="15663" max="15663" width="0.75" style="325" customWidth="1"/>
    <col min="15664" max="15664" width="13.75" style="325" customWidth="1"/>
    <col min="15665" max="15668" width="14.375" style="325" customWidth="1"/>
    <col min="15669" max="15669" width="12.875" style="325" customWidth="1"/>
    <col min="15670" max="15670" width="11" style="325" customWidth="1"/>
    <col min="15671" max="15671" width="13.75" style="325" customWidth="1"/>
    <col min="15672" max="15725" width="0" style="325" hidden="1" customWidth="1"/>
    <col min="15726" max="15726" width="0.75" style="325" customWidth="1"/>
    <col min="15727" max="15727" width="13.75" style="325" customWidth="1"/>
    <col min="15728" max="15731" width="14.375" style="325" customWidth="1"/>
    <col min="15732" max="15732" width="12.875" style="325" customWidth="1"/>
    <col min="15733" max="15733" width="11" style="325" customWidth="1"/>
    <col min="15734" max="15734" width="13.75" style="325" customWidth="1"/>
    <col min="15735" max="15735" width="17.5" style="325" customWidth="1"/>
    <col min="15736"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1" style="325" customWidth="1"/>
    <col min="15882" max="15882" width="13.75" style="325" customWidth="1"/>
    <col min="15883" max="15883" width="0.75" style="325" customWidth="1"/>
    <col min="15884" max="15884" width="13.75" style="325" customWidth="1"/>
    <col min="15885" max="15888" width="14.375" style="325" customWidth="1"/>
    <col min="15889" max="15889" width="12.875" style="325" customWidth="1"/>
    <col min="15890" max="15890" width="11" style="325" customWidth="1"/>
    <col min="15891" max="15891" width="13.75" style="325" customWidth="1"/>
    <col min="15892" max="15892" width="0.75" style="325" customWidth="1"/>
    <col min="15893" max="15893" width="13.75" style="325" customWidth="1"/>
    <col min="15894" max="15897" width="14.375" style="325" customWidth="1"/>
    <col min="15898" max="15898" width="12.875" style="325" customWidth="1"/>
    <col min="15899" max="15899" width="11" style="325" customWidth="1"/>
    <col min="15900" max="15900" width="13.75" style="325" customWidth="1"/>
    <col min="15901" max="15901" width="0.75" style="325" customWidth="1"/>
    <col min="15902" max="15902" width="13.75" style="325" customWidth="1"/>
    <col min="15903" max="15906" width="14.375" style="325" customWidth="1"/>
    <col min="15907" max="15907" width="12.875" style="325" customWidth="1"/>
    <col min="15908" max="15908" width="11" style="325" customWidth="1"/>
    <col min="15909" max="15909" width="13.75" style="325" customWidth="1"/>
    <col min="15910" max="15910" width="0.75" style="325" customWidth="1"/>
    <col min="15911" max="15911" width="13.75" style="325" customWidth="1"/>
    <col min="15912" max="15915" width="14.375" style="325" customWidth="1"/>
    <col min="15916" max="15916" width="12.875" style="325" customWidth="1"/>
    <col min="15917" max="15917" width="11" style="325" customWidth="1"/>
    <col min="15918" max="15918" width="13.75" style="325" customWidth="1"/>
    <col min="15919" max="15919" width="0.75" style="325" customWidth="1"/>
    <col min="15920" max="15920" width="13.75" style="325" customWidth="1"/>
    <col min="15921" max="15924" width="14.375" style="325" customWidth="1"/>
    <col min="15925" max="15925" width="12.875" style="325" customWidth="1"/>
    <col min="15926" max="15926" width="11" style="325" customWidth="1"/>
    <col min="15927" max="15927" width="13.75" style="325" customWidth="1"/>
    <col min="15928" max="15981" width="0" style="325" hidden="1" customWidth="1"/>
    <col min="15982" max="15982" width="0.75" style="325" customWidth="1"/>
    <col min="15983" max="15983" width="13.75" style="325" customWidth="1"/>
    <col min="15984" max="15987" width="14.375" style="325" customWidth="1"/>
    <col min="15988" max="15988" width="12.875" style="325" customWidth="1"/>
    <col min="15989" max="15989" width="11" style="325" customWidth="1"/>
    <col min="15990" max="15990" width="13.75" style="325" customWidth="1"/>
    <col min="15991" max="15991" width="17.5" style="325" customWidth="1"/>
    <col min="15992"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1" style="325" customWidth="1"/>
    <col min="16138" max="16138" width="13.75" style="325" customWidth="1"/>
    <col min="16139" max="16139" width="0.75" style="325" customWidth="1"/>
    <col min="16140" max="16140" width="13.75" style="325" customWidth="1"/>
    <col min="16141" max="16144" width="14.375" style="325" customWidth="1"/>
    <col min="16145" max="16145" width="12.875" style="325" customWidth="1"/>
    <col min="16146" max="16146" width="11" style="325" customWidth="1"/>
    <col min="16147" max="16147" width="13.75" style="325" customWidth="1"/>
    <col min="16148" max="16148" width="0.75" style="325" customWidth="1"/>
    <col min="16149" max="16149" width="13.75" style="325" customWidth="1"/>
    <col min="16150" max="16153" width="14.375" style="325" customWidth="1"/>
    <col min="16154" max="16154" width="12.875" style="325" customWidth="1"/>
    <col min="16155" max="16155" width="11" style="325" customWidth="1"/>
    <col min="16156" max="16156" width="13.75" style="325" customWidth="1"/>
    <col min="16157" max="16157" width="0.75" style="325" customWidth="1"/>
    <col min="16158" max="16158" width="13.75" style="325" customWidth="1"/>
    <col min="16159" max="16162" width="14.375" style="325" customWidth="1"/>
    <col min="16163" max="16163" width="12.875" style="325" customWidth="1"/>
    <col min="16164" max="16164" width="11" style="325" customWidth="1"/>
    <col min="16165" max="16165" width="13.75" style="325" customWidth="1"/>
    <col min="16166" max="16166" width="0.75" style="325" customWidth="1"/>
    <col min="16167" max="16167" width="13.75" style="325" customWidth="1"/>
    <col min="16168" max="16171" width="14.375" style="325" customWidth="1"/>
    <col min="16172" max="16172" width="12.875" style="325" customWidth="1"/>
    <col min="16173" max="16173" width="11" style="325" customWidth="1"/>
    <col min="16174" max="16174" width="13.75" style="325" customWidth="1"/>
    <col min="16175" max="16175" width="0.75" style="325" customWidth="1"/>
    <col min="16176" max="16176" width="13.75" style="325" customWidth="1"/>
    <col min="16177" max="16180" width="14.375" style="325" customWidth="1"/>
    <col min="16181" max="16181" width="12.875" style="325" customWidth="1"/>
    <col min="16182" max="16182" width="11" style="325" customWidth="1"/>
    <col min="16183" max="16183" width="13.75" style="325" customWidth="1"/>
    <col min="16184" max="16237" width="0" style="325" hidden="1" customWidth="1"/>
    <col min="16238" max="16238" width="0.75" style="325" customWidth="1"/>
    <col min="16239" max="16239" width="13.75" style="325" customWidth="1"/>
    <col min="16240" max="16243" width="14.375" style="325" customWidth="1"/>
    <col min="16244" max="16244" width="12.875" style="325" customWidth="1"/>
    <col min="16245" max="16245" width="11" style="325" customWidth="1"/>
    <col min="16246" max="16246" width="13.75" style="325" customWidth="1"/>
    <col min="16247" max="16247" width="17.5" style="325" customWidth="1"/>
    <col min="16248" max="16384" width="9" style="325"/>
  </cols>
  <sheetData>
    <row r="1" spans="1:119"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c r="DB1" s="499"/>
      <c r="DC1" s="499"/>
      <c r="DD1" s="499"/>
      <c r="DE1" s="499"/>
      <c r="DF1" s="499"/>
      <c r="DG1" s="499"/>
      <c r="DH1" s="499"/>
      <c r="DI1" s="499"/>
      <c r="DJ1" s="499"/>
      <c r="DK1" s="499"/>
      <c r="DL1" s="499"/>
      <c r="DM1" s="499"/>
      <c r="DN1" s="499"/>
    </row>
    <row r="2" spans="1:119"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row>
    <row r="3" spans="1:119" s="298" customFormat="1" x14ac:dyDescent="0.5">
      <c r="A3" s="499"/>
      <c r="B3" s="499" t="s">
        <v>3491</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row>
    <row r="4" spans="1:119" s="298" customFormat="1" x14ac:dyDescent="0.5">
      <c r="A4" s="500"/>
      <c r="B4" s="516" t="s">
        <v>3628</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row>
    <row r="5" spans="1:119" s="301" customFormat="1" ht="14.25" customHeight="1" x14ac:dyDescent="0.45">
      <c r="A5" s="299"/>
      <c r="B5" s="299"/>
      <c r="C5" s="300"/>
      <c r="K5" s="501"/>
      <c r="L5" s="300"/>
      <c r="U5" s="300"/>
      <c r="AC5" s="501"/>
      <c r="AD5" s="300"/>
      <c r="AM5" s="300"/>
      <c r="AU5" s="501"/>
      <c r="AV5" s="300"/>
      <c r="BE5" s="300"/>
      <c r="BM5" s="501"/>
      <c r="BN5" s="300"/>
      <c r="BW5" s="300"/>
      <c r="CE5" s="501"/>
      <c r="CF5" s="300"/>
      <c r="CO5" s="300"/>
      <c r="CW5" s="501"/>
      <c r="CX5" s="300"/>
      <c r="DG5" s="300"/>
    </row>
    <row r="6" spans="1:119" s="303" customFormat="1" ht="21" x14ac:dyDescent="0.45">
      <c r="A6" s="619" t="s">
        <v>253</v>
      </c>
      <c r="B6" s="619" t="s">
        <v>1915</v>
      </c>
      <c r="C6" s="613" t="s">
        <v>3492</v>
      </c>
      <c r="D6" s="614"/>
      <c r="E6" s="614"/>
      <c r="F6" s="614"/>
      <c r="G6" s="614"/>
      <c r="H6" s="614"/>
      <c r="I6" s="614"/>
      <c r="J6" s="615"/>
      <c r="K6" s="513"/>
      <c r="L6" s="616" t="s">
        <v>3493</v>
      </c>
      <c r="M6" s="617"/>
      <c r="N6" s="617"/>
      <c r="O6" s="617"/>
      <c r="P6" s="617"/>
      <c r="Q6" s="617"/>
      <c r="R6" s="617"/>
      <c r="S6" s="618"/>
      <c r="T6" s="513"/>
      <c r="U6" s="613" t="s">
        <v>3494</v>
      </c>
      <c r="V6" s="614"/>
      <c r="W6" s="614"/>
      <c r="X6" s="614"/>
      <c r="Y6" s="614"/>
      <c r="Z6" s="614"/>
      <c r="AA6" s="614"/>
      <c r="AB6" s="615"/>
      <c r="AC6" s="513"/>
      <c r="AD6" s="616" t="s">
        <v>3495</v>
      </c>
      <c r="AE6" s="617"/>
      <c r="AF6" s="617"/>
      <c r="AG6" s="617"/>
      <c r="AH6" s="617"/>
      <c r="AI6" s="617"/>
      <c r="AJ6" s="617"/>
      <c r="AK6" s="618"/>
      <c r="AL6" s="513"/>
      <c r="AM6" s="613" t="s">
        <v>3496</v>
      </c>
      <c r="AN6" s="614"/>
      <c r="AO6" s="614"/>
      <c r="AP6" s="614"/>
      <c r="AQ6" s="614"/>
      <c r="AR6" s="614"/>
      <c r="AS6" s="614"/>
      <c r="AT6" s="615"/>
      <c r="AU6" s="513"/>
      <c r="AV6" s="616" t="s">
        <v>3497</v>
      </c>
      <c r="AW6" s="617"/>
      <c r="AX6" s="617"/>
      <c r="AY6" s="617"/>
      <c r="AZ6" s="617"/>
      <c r="BA6" s="617"/>
      <c r="BB6" s="617"/>
      <c r="BC6" s="618"/>
      <c r="BD6" s="513"/>
      <c r="BE6" s="613" t="s">
        <v>3498</v>
      </c>
      <c r="BF6" s="614"/>
      <c r="BG6" s="614"/>
      <c r="BH6" s="614"/>
      <c r="BI6" s="614"/>
      <c r="BJ6" s="614"/>
      <c r="BK6" s="614"/>
      <c r="BL6" s="615"/>
      <c r="BM6" s="513"/>
      <c r="BN6" s="616" t="s">
        <v>3499</v>
      </c>
      <c r="BO6" s="617"/>
      <c r="BP6" s="617"/>
      <c r="BQ6" s="617"/>
      <c r="BR6" s="617"/>
      <c r="BS6" s="617"/>
      <c r="BT6" s="617"/>
      <c r="BU6" s="618"/>
      <c r="BV6" s="581"/>
      <c r="BW6" s="613" t="s">
        <v>3500</v>
      </c>
      <c r="BX6" s="614"/>
      <c r="BY6" s="614"/>
      <c r="BZ6" s="614"/>
      <c r="CA6" s="614"/>
      <c r="CB6" s="614"/>
      <c r="CC6" s="614"/>
      <c r="CD6" s="615"/>
      <c r="CE6" s="581"/>
      <c r="CF6" s="616" t="s">
        <v>3501</v>
      </c>
      <c r="CG6" s="617"/>
      <c r="CH6" s="617"/>
      <c r="CI6" s="617"/>
      <c r="CJ6" s="617"/>
      <c r="CK6" s="617"/>
      <c r="CL6" s="617"/>
      <c r="CM6" s="618"/>
      <c r="CN6" s="581"/>
      <c r="CO6" s="613" t="s">
        <v>3502</v>
      </c>
      <c r="CP6" s="614"/>
      <c r="CQ6" s="614"/>
      <c r="CR6" s="614"/>
      <c r="CS6" s="614"/>
      <c r="CT6" s="614"/>
      <c r="CU6" s="614"/>
      <c r="CV6" s="615"/>
      <c r="CW6" s="581"/>
      <c r="CX6" s="616" t="s">
        <v>3503</v>
      </c>
      <c r="CY6" s="617"/>
      <c r="CZ6" s="617"/>
      <c r="DA6" s="617"/>
      <c r="DB6" s="617"/>
      <c r="DC6" s="617"/>
      <c r="DD6" s="617"/>
      <c r="DE6" s="618"/>
      <c r="DF6" s="581"/>
      <c r="DG6" s="620" t="s">
        <v>3629</v>
      </c>
      <c r="DH6" s="621"/>
      <c r="DI6" s="621"/>
      <c r="DJ6" s="621"/>
      <c r="DK6" s="621"/>
      <c r="DL6" s="621"/>
      <c r="DM6" s="621"/>
      <c r="DN6" s="622"/>
      <c r="DO6" s="302"/>
    </row>
    <row r="7" spans="1:119" s="303" customFormat="1" ht="42" customHeight="1" x14ac:dyDescent="0.45">
      <c r="A7" s="619"/>
      <c r="B7" s="619"/>
      <c r="C7" s="603" t="s">
        <v>263</v>
      </c>
      <c r="D7" s="597" t="s">
        <v>2905</v>
      </c>
      <c r="E7" s="598"/>
      <c r="F7" s="598"/>
      <c r="G7" s="598"/>
      <c r="H7" s="598"/>
      <c r="I7" s="599"/>
      <c r="J7" s="600" t="s">
        <v>256</v>
      </c>
      <c r="K7" s="578"/>
      <c r="L7" s="603" t="s">
        <v>263</v>
      </c>
      <c r="M7" s="597" t="s">
        <v>2905</v>
      </c>
      <c r="N7" s="598"/>
      <c r="O7" s="598"/>
      <c r="P7" s="598"/>
      <c r="Q7" s="598"/>
      <c r="R7" s="599"/>
      <c r="S7" s="600" t="s">
        <v>256</v>
      </c>
      <c r="T7" s="578"/>
      <c r="U7" s="603" t="s">
        <v>263</v>
      </c>
      <c r="V7" s="597" t="s">
        <v>2905</v>
      </c>
      <c r="W7" s="598"/>
      <c r="X7" s="598"/>
      <c r="Y7" s="598"/>
      <c r="Z7" s="598"/>
      <c r="AA7" s="599"/>
      <c r="AB7" s="600" t="s">
        <v>256</v>
      </c>
      <c r="AC7" s="578"/>
      <c r="AD7" s="603" t="s">
        <v>263</v>
      </c>
      <c r="AE7" s="597" t="s">
        <v>2905</v>
      </c>
      <c r="AF7" s="598"/>
      <c r="AG7" s="598"/>
      <c r="AH7" s="598"/>
      <c r="AI7" s="598"/>
      <c r="AJ7" s="599"/>
      <c r="AK7" s="600" t="s">
        <v>256</v>
      </c>
      <c r="AL7" s="578"/>
      <c r="AM7" s="603" t="s">
        <v>263</v>
      </c>
      <c r="AN7" s="597" t="s">
        <v>2905</v>
      </c>
      <c r="AO7" s="598"/>
      <c r="AP7" s="598"/>
      <c r="AQ7" s="598"/>
      <c r="AR7" s="598"/>
      <c r="AS7" s="599"/>
      <c r="AT7" s="600" t="s">
        <v>256</v>
      </c>
      <c r="AU7" s="578"/>
      <c r="AV7" s="603" t="s">
        <v>263</v>
      </c>
      <c r="AW7" s="597" t="s">
        <v>2905</v>
      </c>
      <c r="AX7" s="598"/>
      <c r="AY7" s="598"/>
      <c r="AZ7" s="598"/>
      <c r="BA7" s="598"/>
      <c r="BB7" s="599"/>
      <c r="BC7" s="600" t="s">
        <v>256</v>
      </c>
      <c r="BD7" s="578"/>
      <c r="BE7" s="603" t="s">
        <v>263</v>
      </c>
      <c r="BF7" s="597" t="s">
        <v>2905</v>
      </c>
      <c r="BG7" s="598"/>
      <c r="BH7" s="598"/>
      <c r="BI7" s="598"/>
      <c r="BJ7" s="598"/>
      <c r="BK7" s="599"/>
      <c r="BL7" s="600" t="s">
        <v>256</v>
      </c>
      <c r="BM7" s="578"/>
      <c r="BN7" s="603" t="s">
        <v>263</v>
      </c>
      <c r="BO7" s="597" t="s">
        <v>2905</v>
      </c>
      <c r="BP7" s="598"/>
      <c r="BQ7" s="598"/>
      <c r="BR7" s="598"/>
      <c r="BS7" s="598"/>
      <c r="BT7" s="599"/>
      <c r="BU7" s="600" t="s">
        <v>256</v>
      </c>
      <c r="BV7" s="578"/>
      <c r="BW7" s="603" t="s">
        <v>263</v>
      </c>
      <c r="BX7" s="597" t="s">
        <v>2905</v>
      </c>
      <c r="BY7" s="598"/>
      <c r="BZ7" s="598"/>
      <c r="CA7" s="598"/>
      <c r="CB7" s="598"/>
      <c r="CC7" s="599"/>
      <c r="CD7" s="600" t="s">
        <v>256</v>
      </c>
      <c r="CE7" s="578"/>
      <c r="CF7" s="603" t="s">
        <v>263</v>
      </c>
      <c r="CG7" s="597" t="s">
        <v>2905</v>
      </c>
      <c r="CH7" s="598"/>
      <c r="CI7" s="598"/>
      <c r="CJ7" s="598"/>
      <c r="CK7" s="598"/>
      <c r="CL7" s="599"/>
      <c r="CM7" s="600" t="s">
        <v>256</v>
      </c>
      <c r="CN7" s="578"/>
      <c r="CO7" s="603" t="s">
        <v>263</v>
      </c>
      <c r="CP7" s="597" t="s">
        <v>2905</v>
      </c>
      <c r="CQ7" s="598"/>
      <c r="CR7" s="598"/>
      <c r="CS7" s="598"/>
      <c r="CT7" s="598"/>
      <c r="CU7" s="599"/>
      <c r="CV7" s="600" t="s">
        <v>256</v>
      </c>
      <c r="CW7" s="578"/>
      <c r="CX7" s="603" t="s">
        <v>263</v>
      </c>
      <c r="CY7" s="597" t="s">
        <v>2905</v>
      </c>
      <c r="CZ7" s="598"/>
      <c r="DA7" s="598"/>
      <c r="DB7" s="598"/>
      <c r="DC7" s="598"/>
      <c r="DD7" s="599"/>
      <c r="DE7" s="600" t="s">
        <v>256</v>
      </c>
      <c r="DF7" s="578"/>
      <c r="DG7" s="631" t="s">
        <v>263</v>
      </c>
      <c r="DH7" s="634" t="s">
        <v>2905</v>
      </c>
      <c r="DI7" s="635"/>
      <c r="DJ7" s="635"/>
      <c r="DK7" s="635"/>
      <c r="DL7" s="635"/>
      <c r="DM7" s="636"/>
      <c r="DN7" s="623" t="s">
        <v>256</v>
      </c>
      <c r="DO7" s="302"/>
    </row>
    <row r="8" spans="1:119" s="304" customFormat="1" ht="65.25" customHeight="1" x14ac:dyDescent="0.2">
      <c r="A8" s="619"/>
      <c r="B8" s="619"/>
      <c r="C8" s="604"/>
      <c r="D8" s="606" t="s">
        <v>2239</v>
      </c>
      <c r="E8" s="607"/>
      <c r="F8" s="608" t="s">
        <v>265</v>
      </c>
      <c r="G8" s="609"/>
      <c r="H8" s="610"/>
      <c r="I8" s="611" t="s">
        <v>3523</v>
      </c>
      <c r="J8" s="601"/>
      <c r="K8" s="579"/>
      <c r="L8" s="604"/>
      <c r="M8" s="606" t="s">
        <v>2239</v>
      </c>
      <c r="N8" s="607"/>
      <c r="O8" s="608" t="s">
        <v>265</v>
      </c>
      <c r="P8" s="609"/>
      <c r="Q8" s="610"/>
      <c r="R8" s="611" t="s">
        <v>3523</v>
      </c>
      <c r="S8" s="601"/>
      <c r="T8" s="579"/>
      <c r="U8" s="604"/>
      <c r="V8" s="606" t="s">
        <v>2239</v>
      </c>
      <c r="W8" s="607"/>
      <c r="X8" s="608" t="s">
        <v>265</v>
      </c>
      <c r="Y8" s="609"/>
      <c r="Z8" s="610"/>
      <c r="AA8" s="611" t="s">
        <v>3523</v>
      </c>
      <c r="AB8" s="601"/>
      <c r="AC8" s="579"/>
      <c r="AD8" s="604"/>
      <c r="AE8" s="606" t="s">
        <v>2239</v>
      </c>
      <c r="AF8" s="607"/>
      <c r="AG8" s="608" t="s">
        <v>265</v>
      </c>
      <c r="AH8" s="609"/>
      <c r="AI8" s="610"/>
      <c r="AJ8" s="611" t="s">
        <v>3523</v>
      </c>
      <c r="AK8" s="601"/>
      <c r="AL8" s="579"/>
      <c r="AM8" s="604"/>
      <c r="AN8" s="606" t="s">
        <v>2239</v>
      </c>
      <c r="AO8" s="607"/>
      <c r="AP8" s="608" t="s">
        <v>265</v>
      </c>
      <c r="AQ8" s="609"/>
      <c r="AR8" s="610"/>
      <c r="AS8" s="611" t="s">
        <v>3523</v>
      </c>
      <c r="AT8" s="601"/>
      <c r="AU8" s="579"/>
      <c r="AV8" s="604"/>
      <c r="AW8" s="606" t="s">
        <v>2239</v>
      </c>
      <c r="AX8" s="607"/>
      <c r="AY8" s="608" t="s">
        <v>265</v>
      </c>
      <c r="AZ8" s="609"/>
      <c r="BA8" s="610"/>
      <c r="BB8" s="611" t="s">
        <v>3523</v>
      </c>
      <c r="BC8" s="601"/>
      <c r="BD8" s="579"/>
      <c r="BE8" s="604"/>
      <c r="BF8" s="606" t="s">
        <v>2239</v>
      </c>
      <c r="BG8" s="607"/>
      <c r="BH8" s="608" t="s">
        <v>265</v>
      </c>
      <c r="BI8" s="609"/>
      <c r="BJ8" s="610"/>
      <c r="BK8" s="611" t="s">
        <v>3523</v>
      </c>
      <c r="BL8" s="601"/>
      <c r="BM8" s="579"/>
      <c r="BN8" s="604"/>
      <c r="BO8" s="606" t="s">
        <v>2239</v>
      </c>
      <c r="BP8" s="607"/>
      <c r="BQ8" s="608" t="s">
        <v>265</v>
      </c>
      <c r="BR8" s="609"/>
      <c r="BS8" s="610"/>
      <c r="BT8" s="611" t="s">
        <v>3523</v>
      </c>
      <c r="BU8" s="601"/>
      <c r="BV8" s="579"/>
      <c r="BW8" s="604"/>
      <c r="BX8" s="606" t="s">
        <v>2239</v>
      </c>
      <c r="BY8" s="607"/>
      <c r="BZ8" s="608" t="s">
        <v>265</v>
      </c>
      <c r="CA8" s="609"/>
      <c r="CB8" s="610"/>
      <c r="CC8" s="611" t="s">
        <v>3523</v>
      </c>
      <c r="CD8" s="601"/>
      <c r="CE8" s="579"/>
      <c r="CF8" s="604"/>
      <c r="CG8" s="606" t="s">
        <v>2239</v>
      </c>
      <c r="CH8" s="607"/>
      <c r="CI8" s="608" t="s">
        <v>265</v>
      </c>
      <c r="CJ8" s="609"/>
      <c r="CK8" s="610"/>
      <c r="CL8" s="611" t="s">
        <v>3523</v>
      </c>
      <c r="CM8" s="601"/>
      <c r="CN8" s="579"/>
      <c r="CO8" s="604"/>
      <c r="CP8" s="606" t="s">
        <v>2239</v>
      </c>
      <c r="CQ8" s="607"/>
      <c r="CR8" s="608" t="s">
        <v>265</v>
      </c>
      <c r="CS8" s="609"/>
      <c r="CT8" s="610"/>
      <c r="CU8" s="611" t="s">
        <v>3523</v>
      </c>
      <c r="CV8" s="601"/>
      <c r="CW8" s="579"/>
      <c r="CX8" s="604"/>
      <c r="CY8" s="606" t="s">
        <v>2239</v>
      </c>
      <c r="CZ8" s="607"/>
      <c r="DA8" s="608" t="s">
        <v>265</v>
      </c>
      <c r="DB8" s="609"/>
      <c r="DC8" s="610"/>
      <c r="DD8" s="611" t="s">
        <v>3523</v>
      </c>
      <c r="DE8" s="601"/>
      <c r="DF8" s="579"/>
      <c r="DG8" s="632"/>
      <c r="DH8" s="629" t="s">
        <v>2239</v>
      </c>
      <c r="DI8" s="630"/>
      <c r="DJ8" s="624" t="s">
        <v>265</v>
      </c>
      <c r="DK8" s="625"/>
      <c r="DL8" s="626"/>
      <c r="DM8" s="627" t="s">
        <v>3523</v>
      </c>
      <c r="DN8" s="623"/>
    </row>
    <row r="9" spans="1:119" s="303" customFormat="1" ht="36" customHeight="1" x14ac:dyDescent="0.45">
      <c r="A9" s="619"/>
      <c r="B9" s="619"/>
      <c r="C9" s="605"/>
      <c r="D9" s="502" t="s">
        <v>1916</v>
      </c>
      <c r="E9" s="502" t="s">
        <v>1917</v>
      </c>
      <c r="F9" s="502" t="s">
        <v>1916</v>
      </c>
      <c r="G9" s="502" t="s">
        <v>1917</v>
      </c>
      <c r="H9" s="502" t="s">
        <v>1918</v>
      </c>
      <c r="I9" s="612"/>
      <c r="J9" s="602"/>
      <c r="K9" s="580"/>
      <c r="L9" s="605"/>
      <c r="M9" s="502" t="s">
        <v>1916</v>
      </c>
      <c r="N9" s="502" t="s">
        <v>1917</v>
      </c>
      <c r="O9" s="502" t="s">
        <v>1916</v>
      </c>
      <c r="P9" s="502" t="s">
        <v>1917</v>
      </c>
      <c r="Q9" s="502" t="s">
        <v>1918</v>
      </c>
      <c r="R9" s="612"/>
      <c r="S9" s="602"/>
      <c r="T9" s="580"/>
      <c r="U9" s="605"/>
      <c r="V9" s="502" t="s">
        <v>1916</v>
      </c>
      <c r="W9" s="502" t="s">
        <v>1917</v>
      </c>
      <c r="X9" s="502" t="s">
        <v>1916</v>
      </c>
      <c r="Y9" s="502" t="s">
        <v>1917</v>
      </c>
      <c r="Z9" s="502" t="s">
        <v>1918</v>
      </c>
      <c r="AA9" s="612"/>
      <c r="AB9" s="602"/>
      <c r="AC9" s="580"/>
      <c r="AD9" s="605"/>
      <c r="AE9" s="502" t="s">
        <v>1916</v>
      </c>
      <c r="AF9" s="502" t="s">
        <v>1917</v>
      </c>
      <c r="AG9" s="502" t="s">
        <v>1916</v>
      </c>
      <c r="AH9" s="502" t="s">
        <v>1917</v>
      </c>
      <c r="AI9" s="502" t="s">
        <v>1918</v>
      </c>
      <c r="AJ9" s="612"/>
      <c r="AK9" s="602"/>
      <c r="AL9" s="580"/>
      <c r="AM9" s="605"/>
      <c r="AN9" s="502" t="s">
        <v>1916</v>
      </c>
      <c r="AO9" s="502" t="s">
        <v>1917</v>
      </c>
      <c r="AP9" s="502" t="s">
        <v>1916</v>
      </c>
      <c r="AQ9" s="502" t="s">
        <v>1917</v>
      </c>
      <c r="AR9" s="502" t="s">
        <v>1918</v>
      </c>
      <c r="AS9" s="612"/>
      <c r="AT9" s="602"/>
      <c r="AU9" s="580"/>
      <c r="AV9" s="605"/>
      <c r="AW9" s="502" t="s">
        <v>1916</v>
      </c>
      <c r="AX9" s="502" t="s">
        <v>1917</v>
      </c>
      <c r="AY9" s="502" t="s">
        <v>1916</v>
      </c>
      <c r="AZ9" s="502" t="s">
        <v>1917</v>
      </c>
      <c r="BA9" s="502" t="s">
        <v>1918</v>
      </c>
      <c r="BB9" s="612"/>
      <c r="BC9" s="602"/>
      <c r="BD9" s="580"/>
      <c r="BE9" s="605"/>
      <c r="BF9" s="502" t="s">
        <v>1916</v>
      </c>
      <c r="BG9" s="502" t="s">
        <v>1917</v>
      </c>
      <c r="BH9" s="502" t="s">
        <v>1916</v>
      </c>
      <c r="BI9" s="502" t="s">
        <v>1917</v>
      </c>
      <c r="BJ9" s="502" t="s">
        <v>1918</v>
      </c>
      <c r="BK9" s="612"/>
      <c r="BL9" s="602"/>
      <c r="BM9" s="580"/>
      <c r="BN9" s="605"/>
      <c r="BO9" s="502" t="s">
        <v>1916</v>
      </c>
      <c r="BP9" s="502" t="s">
        <v>1917</v>
      </c>
      <c r="BQ9" s="502" t="s">
        <v>1916</v>
      </c>
      <c r="BR9" s="502" t="s">
        <v>1917</v>
      </c>
      <c r="BS9" s="502" t="s">
        <v>1918</v>
      </c>
      <c r="BT9" s="612"/>
      <c r="BU9" s="602"/>
      <c r="BV9" s="580"/>
      <c r="BW9" s="605"/>
      <c r="BX9" s="502" t="s">
        <v>1916</v>
      </c>
      <c r="BY9" s="502" t="s">
        <v>1917</v>
      </c>
      <c r="BZ9" s="502" t="s">
        <v>1916</v>
      </c>
      <c r="CA9" s="502" t="s">
        <v>1917</v>
      </c>
      <c r="CB9" s="502" t="s">
        <v>1918</v>
      </c>
      <c r="CC9" s="612"/>
      <c r="CD9" s="602"/>
      <c r="CE9" s="580"/>
      <c r="CF9" s="605"/>
      <c r="CG9" s="502" t="s">
        <v>1916</v>
      </c>
      <c r="CH9" s="502" t="s">
        <v>1917</v>
      </c>
      <c r="CI9" s="502" t="s">
        <v>1916</v>
      </c>
      <c r="CJ9" s="502" t="s">
        <v>1917</v>
      </c>
      <c r="CK9" s="502" t="s">
        <v>1918</v>
      </c>
      <c r="CL9" s="612"/>
      <c r="CM9" s="602"/>
      <c r="CN9" s="580"/>
      <c r="CO9" s="605"/>
      <c r="CP9" s="502" t="s">
        <v>1916</v>
      </c>
      <c r="CQ9" s="502" t="s">
        <v>1917</v>
      </c>
      <c r="CR9" s="502" t="s">
        <v>1916</v>
      </c>
      <c r="CS9" s="502" t="s">
        <v>1917</v>
      </c>
      <c r="CT9" s="502" t="s">
        <v>1918</v>
      </c>
      <c r="CU9" s="612"/>
      <c r="CV9" s="602"/>
      <c r="CW9" s="580"/>
      <c r="CX9" s="605"/>
      <c r="CY9" s="502" t="s">
        <v>1916</v>
      </c>
      <c r="CZ9" s="502" t="s">
        <v>1917</v>
      </c>
      <c r="DA9" s="502" t="s">
        <v>1916</v>
      </c>
      <c r="DB9" s="502" t="s">
        <v>1917</v>
      </c>
      <c r="DC9" s="502" t="s">
        <v>1918</v>
      </c>
      <c r="DD9" s="612"/>
      <c r="DE9" s="602"/>
      <c r="DF9" s="580"/>
      <c r="DG9" s="633"/>
      <c r="DH9" s="305" t="s">
        <v>1916</v>
      </c>
      <c r="DI9" s="305" t="s">
        <v>1917</v>
      </c>
      <c r="DJ9" s="306" t="s">
        <v>1916</v>
      </c>
      <c r="DK9" s="306" t="s">
        <v>1917</v>
      </c>
      <c r="DL9" s="306" t="s">
        <v>1918</v>
      </c>
      <c r="DM9" s="628"/>
      <c r="DN9" s="623"/>
      <c r="DO9" s="302"/>
    </row>
    <row r="10" spans="1:119" s="310" customFormat="1" ht="20.25" customHeight="1" x14ac:dyDescent="0.2">
      <c r="A10" s="307">
        <v>1</v>
      </c>
      <c r="B10" s="308" t="s">
        <v>1186</v>
      </c>
      <c r="C10" s="309">
        <v>0</v>
      </c>
      <c r="D10" s="309">
        <v>0</v>
      </c>
      <c r="E10" s="309">
        <v>0</v>
      </c>
      <c r="F10" s="309">
        <v>0</v>
      </c>
      <c r="G10" s="309">
        <v>0</v>
      </c>
      <c r="H10" s="309"/>
      <c r="I10" s="309">
        <f>SUM(D10:G10)</f>
        <v>0</v>
      </c>
      <c r="J10" s="309">
        <f>+C10-I10</f>
        <v>0</v>
      </c>
      <c r="K10" s="309"/>
      <c r="L10" s="309">
        <v>63000</v>
      </c>
      <c r="M10" s="309">
        <v>3150</v>
      </c>
      <c r="N10" s="309">
        <v>3150</v>
      </c>
      <c r="O10" s="309">
        <v>0</v>
      </c>
      <c r="P10" s="309">
        <v>0</v>
      </c>
      <c r="Q10" s="309"/>
      <c r="R10" s="309">
        <f>SUM(M10:P10)</f>
        <v>6300</v>
      </c>
      <c r="S10" s="309">
        <f>+L10-R10</f>
        <v>56700</v>
      </c>
      <c r="T10" s="309"/>
      <c r="U10" s="309">
        <v>0</v>
      </c>
      <c r="V10" s="309">
        <v>0</v>
      </c>
      <c r="W10" s="309">
        <v>0</v>
      </c>
      <c r="X10" s="309">
        <v>0</v>
      </c>
      <c r="Y10" s="309">
        <v>0</v>
      </c>
      <c r="Z10" s="309"/>
      <c r="AA10" s="309">
        <f>SUM(V10:Y10)</f>
        <v>0</v>
      </c>
      <c r="AB10" s="309">
        <f>+U10-AA10</f>
        <v>0</v>
      </c>
      <c r="AC10" s="309"/>
      <c r="AD10" s="309">
        <v>15000</v>
      </c>
      <c r="AE10" s="309">
        <v>750</v>
      </c>
      <c r="AF10" s="309">
        <v>750</v>
      </c>
      <c r="AG10" s="309">
        <v>0</v>
      </c>
      <c r="AH10" s="309">
        <v>0</v>
      </c>
      <c r="AI10" s="309"/>
      <c r="AJ10" s="309">
        <f>SUM(AE10:AH10)</f>
        <v>1500</v>
      </c>
      <c r="AK10" s="309">
        <f>+AD10-AJ10</f>
        <v>13500</v>
      </c>
      <c r="AL10" s="309"/>
      <c r="AM10" s="309">
        <v>1403910</v>
      </c>
      <c r="AN10" s="309">
        <v>500</v>
      </c>
      <c r="AO10" s="309">
        <v>500</v>
      </c>
      <c r="AP10" s="309">
        <v>12460</v>
      </c>
      <c r="AQ10" s="309">
        <v>12460</v>
      </c>
      <c r="AR10" s="309"/>
      <c r="AS10" s="309">
        <f>SUM(AN10:AQ10)</f>
        <v>25920</v>
      </c>
      <c r="AT10" s="309">
        <f>+AM10-AS10</f>
        <v>1377990</v>
      </c>
      <c r="AU10" s="309"/>
      <c r="AV10" s="309">
        <v>0</v>
      </c>
      <c r="AW10" s="309">
        <v>0</v>
      </c>
      <c r="AX10" s="309">
        <v>0</v>
      </c>
      <c r="AY10" s="309">
        <v>0</v>
      </c>
      <c r="AZ10" s="309">
        <v>0</v>
      </c>
      <c r="BA10" s="309"/>
      <c r="BB10" s="309">
        <f>SUM(AW10:AZ10)</f>
        <v>0</v>
      </c>
      <c r="BC10" s="309">
        <f>+AV10-BB10</f>
        <v>0</v>
      </c>
      <c r="BD10" s="309"/>
      <c r="BE10" s="309">
        <v>0</v>
      </c>
      <c r="BF10" s="309">
        <v>0</v>
      </c>
      <c r="BG10" s="309">
        <v>0</v>
      </c>
      <c r="BH10" s="309">
        <v>0</v>
      </c>
      <c r="BI10" s="309">
        <v>0</v>
      </c>
      <c r="BJ10" s="309"/>
      <c r="BK10" s="309">
        <f>SUM(BF10:BI10)</f>
        <v>0</v>
      </c>
      <c r="BL10" s="309">
        <f>+BE10-BK10</f>
        <v>0</v>
      </c>
      <c r="BM10" s="309"/>
      <c r="BN10" s="309">
        <v>0</v>
      </c>
      <c r="BO10" s="309">
        <v>0</v>
      </c>
      <c r="BP10" s="309">
        <v>0</v>
      </c>
      <c r="BQ10" s="309">
        <v>0</v>
      </c>
      <c r="BR10" s="309">
        <v>0</v>
      </c>
      <c r="BS10" s="309"/>
      <c r="BT10" s="309">
        <f>SUM(BO10:BR10)</f>
        <v>0</v>
      </c>
      <c r="BU10" s="309">
        <f>+BN10-BT10</f>
        <v>0</v>
      </c>
      <c r="BV10" s="309"/>
      <c r="BW10" s="309">
        <v>0</v>
      </c>
      <c r="BX10" s="309">
        <v>0</v>
      </c>
      <c r="BY10" s="309">
        <v>0</v>
      </c>
      <c r="BZ10" s="309">
        <v>0</v>
      </c>
      <c r="CA10" s="309">
        <v>0</v>
      </c>
      <c r="CB10" s="309"/>
      <c r="CC10" s="309">
        <f>SUM(BX10:CA10)</f>
        <v>0</v>
      </c>
      <c r="CD10" s="309">
        <f>+BW10-CC10</f>
        <v>0</v>
      </c>
      <c r="CE10" s="309"/>
      <c r="CF10" s="309">
        <v>0</v>
      </c>
      <c r="CG10" s="309">
        <v>0</v>
      </c>
      <c r="CH10" s="309">
        <v>0</v>
      </c>
      <c r="CI10" s="309">
        <v>0</v>
      </c>
      <c r="CJ10" s="309">
        <v>0</v>
      </c>
      <c r="CK10" s="309"/>
      <c r="CL10" s="309">
        <f>SUM(CG10:CJ10)</f>
        <v>0</v>
      </c>
      <c r="CM10" s="309">
        <f>+CF10-CL10</f>
        <v>0</v>
      </c>
      <c r="CN10" s="309"/>
      <c r="CO10" s="309">
        <v>0</v>
      </c>
      <c r="CP10" s="309">
        <v>0</v>
      </c>
      <c r="CQ10" s="309">
        <v>0</v>
      </c>
      <c r="CR10" s="309">
        <v>0</v>
      </c>
      <c r="CS10" s="309">
        <v>0</v>
      </c>
      <c r="CT10" s="309"/>
      <c r="CU10" s="309">
        <f>SUM(CP10:CS10)</f>
        <v>0</v>
      </c>
      <c r="CV10" s="309">
        <f>+CO10-CU10</f>
        <v>0</v>
      </c>
      <c r="CW10" s="309"/>
      <c r="CX10" s="309">
        <v>0</v>
      </c>
      <c r="CY10" s="309">
        <v>0</v>
      </c>
      <c r="CZ10" s="309">
        <v>0</v>
      </c>
      <c r="DA10" s="309">
        <v>0</v>
      </c>
      <c r="DB10" s="309">
        <v>0</v>
      </c>
      <c r="DC10" s="309"/>
      <c r="DD10" s="309">
        <f>SUM(CY10:DB10)</f>
        <v>0</v>
      </c>
      <c r="DE10" s="309">
        <f>+CX10-DD10</f>
        <v>0</v>
      </c>
      <c r="DF10" s="309"/>
      <c r="DG10" s="309">
        <f>SUM(C10+L10+U10+AD10+AM10+AV10+BE10+BN10+BW10+CF10+CO10+CX10)</f>
        <v>1481910</v>
      </c>
      <c r="DH10" s="309">
        <f t="shared" ref="DH10:DK22" si="0">SUM(D10+M10+V10+AE10+AN10+AW10+BF10+BO10+BX10+CG10+CP10+CY10)</f>
        <v>4400</v>
      </c>
      <c r="DI10" s="309">
        <f t="shared" si="0"/>
        <v>4400</v>
      </c>
      <c r="DJ10" s="309">
        <f t="shared" si="0"/>
        <v>12460</v>
      </c>
      <c r="DK10" s="309">
        <f t="shared" si="0"/>
        <v>12460</v>
      </c>
      <c r="DL10" s="309"/>
      <c r="DM10" s="309">
        <f>SUM(I10+R10+AA10+AJ10+AS10+BB10+BK10+BT10+CC10+CL10+CU10+DD10)</f>
        <v>33720</v>
      </c>
      <c r="DN10" s="309">
        <f>+DG10-DM10</f>
        <v>1448190</v>
      </c>
      <c r="DO10" s="509"/>
    </row>
    <row r="11" spans="1:119" s="313" customFormat="1" ht="20.25" hidden="1" customHeight="1" x14ac:dyDescent="0.2">
      <c r="A11" s="307">
        <v>2</v>
      </c>
      <c r="B11" s="308" t="s">
        <v>360</v>
      </c>
      <c r="C11" s="309">
        <v>0</v>
      </c>
      <c r="D11" s="309">
        <v>0</v>
      </c>
      <c r="E11" s="309">
        <v>0</v>
      </c>
      <c r="F11" s="309">
        <v>0</v>
      </c>
      <c r="G11" s="309">
        <v>0</v>
      </c>
      <c r="H11" s="312"/>
      <c r="I11" s="309">
        <f t="shared" ref="I11:I26" si="1">SUM(D11:G11)</f>
        <v>0</v>
      </c>
      <c r="J11" s="309">
        <f t="shared" ref="J11:J26" si="2">+C11-I11</f>
        <v>0</v>
      </c>
      <c r="K11" s="309"/>
      <c r="L11" s="309">
        <v>0</v>
      </c>
      <c r="M11" s="309">
        <v>0</v>
      </c>
      <c r="N11" s="309">
        <v>0</v>
      </c>
      <c r="O11" s="309">
        <v>0</v>
      </c>
      <c r="P11" s="309">
        <v>0</v>
      </c>
      <c r="Q11" s="312"/>
      <c r="R11" s="309">
        <f t="shared" ref="R11:R26" si="3">SUM(M11:P11)</f>
        <v>0</v>
      </c>
      <c r="S11" s="309">
        <f t="shared" ref="S11:S26" si="4">+L11-R11</f>
        <v>0</v>
      </c>
      <c r="T11" s="309"/>
      <c r="U11" s="309">
        <v>0</v>
      </c>
      <c r="V11" s="309">
        <v>0</v>
      </c>
      <c r="W11" s="309">
        <v>0</v>
      </c>
      <c r="X11" s="309">
        <v>0</v>
      </c>
      <c r="Y11" s="309">
        <v>0</v>
      </c>
      <c r="Z11" s="309"/>
      <c r="AA11" s="309">
        <f t="shared" ref="AA11:AA26" si="5">SUM(V11:Y11)</f>
        <v>0</v>
      </c>
      <c r="AB11" s="309">
        <f t="shared" ref="AB11:AB26" si="6">+U11-AA11</f>
        <v>0</v>
      </c>
      <c r="AC11" s="309"/>
      <c r="AD11" s="309">
        <v>0</v>
      </c>
      <c r="AE11" s="309">
        <v>0</v>
      </c>
      <c r="AF11" s="309">
        <v>0</v>
      </c>
      <c r="AG11" s="309">
        <v>0</v>
      </c>
      <c r="AH11" s="309">
        <v>0</v>
      </c>
      <c r="AI11" s="309"/>
      <c r="AJ11" s="309">
        <f t="shared" ref="AJ11:AJ26" si="7">SUM(AE11:AH11)</f>
        <v>0</v>
      </c>
      <c r="AK11" s="309">
        <f t="shared" ref="AK11:AK26" si="8">+AD11-AJ11</f>
        <v>0</v>
      </c>
      <c r="AL11" s="309"/>
      <c r="AM11" s="309">
        <v>0</v>
      </c>
      <c r="AN11" s="309">
        <v>0</v>
      </c>
      <c r="AO11" s="309">
        <v>0</v>
      </c>
      <c r="AP11" s="309">
        <v>0</v>
      </c>
      <c r="AQ11" s="309">
        <v>0</v>
      </c>
      <c r="AR11" s="309"/>
      <c r="AS11" s="309">
        <f t="shared" ref="AS11:AS26" si="9">SUM(AN11:AQ11)</f>
        <v>0</v>
      </c>
      <c r="AT11" s="309">
        <f t="shared" ref="AT11:AT26" si="10">+AM11-AS11</f>
        <v>0</v>
      </c>
      <c r="AU11" s="309"/>
      <c r="AV11" s="309">
        <v>0</v>
      </c>
      <c r="AW11" s="309">
        <v>0</v>
      </c>
      <c r="AX11" s="309">
        <v>0</v>
      </c>
      <c r="AY11" s="309">
        <v>0</v>
      </c>
      <c r="AZ11" s="309">
        <v>0</v>
      </c>
      <c r="BA11" s="309"/>
      <c r="BB11" s="309">
        <f t="shared" ref="BB11:BB26" si="11">SUM(AW11:AZ11)</f>
        <v>0</v>
      </c>
      <c r="BC11" s="309">
        <f t="shared" ref="BC11:BC26" si="12">+AV11-BB11</f>
        <v>0</v>
      </c>
      <c r="BD11" s="309"/>
      <c r="BE11" s="309">
        <v>0</v>
      </c>
      <c r="BF11" s="309">
        <v>0</v>
      </c>
      <c r="BG11" s="309">
        <v>0</v>
      </c>
      <c r="BH11" s="309">
        <v>0</v>
      </c>
      <c r="BI11" s="309">
        <v>0</v>
      </c>
      <c r="BJ11" s="309"/>
      <c r="BK11" s="309">
        <f t="shared" ref="BK11:BK26" si="13">SUM(BF11:BI11)</f>
        <v>0</v>
      </c>
      <c r="BL11" s="309">
        <f t="shared" ref="BL11:BL26" si="14">+BE11-BK11</f>
        <v>0</v>
      </c>
      <c r="BM11" s="309"/>
      <c r="BN11" s="309">
        <v>0</v>
      </c>
      <c r="BO11" s="309">
        <v>0</v>
      </c>
      <c r="BP11" s="309">
        <v>0</v>
      </c>
      <c r="BQ11" s="309">
        <v>0</v>
      </c>
      <c r="BR11" s="309">
        <v>0</v>
      </c>
      <c r="BS11" s="309"/>
      <c r="BT11" s="309">
        <f t="shared" ref="BT11:BT26" si="15">SUM(BO11:BR11)</f>
        <v>0</v>
      </c>
      <c r="BU11" s="309">
        <f t="shared" ref="BU11:BU26" si="16">+BN11-BT11</f>
        <v>0</v>
      </c>
      <c r="BV11" s="309"/>
      <c r="BW11" s="309">
        <v>0</v>
      </c>
      <c r="BX11" s="309">
        <v>0</v>
      </c>
      <c r="BY11" s="309">
        <v>0</v>
      </c>
      <c r="BZ11" s="309">
        <v>0</v>
      </c>
      <c r="CA11" s="309">
        <v>0</v>
      </c>
      <c r="CB11" s="309"/>
      <c r="CC11" s="309">
        <f t="shared" ref="CC11:CC26" si="17">SUM(BX11:CA11)</f>
        <v>0</v>
      </c>
      <c r="CD11" s="309">
        <f t="shared" ref="CD11:CD26" si="18">+BW11-CC11</f>
        <v>0</v>
      </c>
      <c r="CE11" s="309"/>
      <c r="CF11" s="309">
        <v>0</v>
      </c>
      <c r="CG11" s="309">
        <v>0</v>
      </c>
      <c r="CH11" s="309">
        <v>0</v>
      </c>
      <c r="CI11" s="309">
        <v>0</v>
      </c>
      <c r="CJ11" s="309">
        <v>0</v>
      </c>
      <c r="CK11" s="309"/>
      <c r="CL11" s="309">
        <f t="shared" ref="CL11:CL26" si="19">SUM(CG11:CJ11)</f>
        <v>0</v>
      </c>
      <c r="CM11" s="309">
        <f t="shared" ref="CM11:CM26" si="20">+CF11-CL11</f>
        <v>0</v>
      </c>
      <c r="CN11" s="309"/>
      <c r="CO11" s="309">
        <v>0</v>
      </c>
      <c r="CP11" s="309">
        <v>0</v>
      </c>
      <c r="CQ11" s="309">
        <v>0</v>
      </c>
      <c r="CR11" s="309">
        <v>0</v>
      </c>
      <c r="CS11" s="309">
        <v>0</v>
      </c>
      <c r="CT11" s="309"/>
      <c r="CU11" s="309">
        <f t="shared" ref="CU11:CU26" si="21">SUM(CP11:CS11)</f>
        <v>0</v>
      </c>
      <c r="CV11" s="309">
        <f t="shared" ref="CV11:CV26" si="22">+CO11-CU11</f>
        <v>0</v>
      </c>
      <c r="CW11" s="309"/>
      <c r="CX11" s="309">
        <v>0</v>
      </c>
      <c r="CY11" s="309">
        <v>0</v>
      </c>
      <c r="CZ11" s="309">
        <v>0</v>
      </c>
      <c r="DA11" s="309">
        <v>0</v>
      </c>
      <c r="DB11" s="309">
        <v>0</v>
      </c>
      <c r="DC11" s="309"/>
      <c r="DD11" s="309">
        <f t="shared" ref="DD11:DD26" si="23">SUM(CY11:DB11)</f>
        <v>0</v>
      </c>
      <c r="DE11" s="309">
        <f t="shared" ref="DE11:DE26" si="24">+CX11-DD11</f>
        <v>0</v>
      </c>
      <c r="DF11" s="309"/>
      <c r="DG11" s="309">
        <f t="shared" ref="DG11:DK26" si="25">SUM(C11+L11+U11+AD11+AM11+AV11+BE11+BN11+BW11+CF11+CO11+CX11)</f>
        <v>0</v>
      </c>
      <c r="DH11" s="309">
        <f t="shared" si="0"/>
        <v>0</v>
      </c>
      <c r="DI11" s="309">
        <f t="shared" si="0"/>
        <v>0</v>
      </c>
      <c r="DJ11" s="309">
        <f t="shared" si="0"/>
        <v>0</v>
      </c>
      <c r="DK11" s="309">
        <f t="shared" si="0"/>
        <v>0</v>
      </c>
      <c r="DL11" s="309"/>
      <c r="DM11" s="309">
        <f t="shared" ref="DM11:DM26" si="26">SUM(I11+R11+AA11+AJ11+AS11+BB11+BK11+BT11+CC11+CL11+CU11+DD11)</f>
        <v>0</v>
      </c>
      <c r="DN11" s="309">
        <f t="shared" ref="DN11:DN26" si="27">+DG11-DM11</f>
        <v>0</v>
      </c>
      <c r="DO11" s="509"/>
    </row>
    <row r="12" spans="1:119" s="426" customFormat="1" ht="20.25" customHeight="1" x14ac:dyDescent="0.2">
      <c r="A12" s="307">
        <v>3</v>
      </c>
      <c r="B12" s="423" t="s">
        <v>2126</v>
      </c>
      <c r="C12" s="309">
        <v>0</v>
      </c>
      <c r="D12" s="309">
        <v>0</v>
      </c>
      <c r="E12" s="309">
        <v>0</v>
      </c>
      <c r="F12" s="309">
        <v>0</v>
      </c>
      <c r="G12" s="309">
        <v>0</v>
      </c>
      <c r="H12" s="312"/>
      <c r="I12" s="309">
        <f t="shared" si="1"/>
        <v>0</v>
      </c>
      <c r="J12" s="309">
        <f t="shared" si="2"/>
        <v>0</v>
      </c>
      <c r="K12" s="309"/>
      <c r="L12" s="309">
        <v>95000</v>
      </c>
      <c r="M12" s="309">
        <v>0</v>
      </c>
      <c r="N12" s="309">
        <v>0</v>
      </c>
      <c r="O12" s="309">
        <v>4750</v>
      </c>
      <c r="P12" s="309">
        <v>4750</v>
      </c>
      <c r="Q12" s="312"/>
      <c r="R12" s="309">
        <f t="shared" si="3"/>
        <v>9500</v>
      </c>
      <c r="S12" s="309">
        <f t="shared" si="4"/>
        <v>85500</v>
      </c>
      <c r="T12" s="309"/>
      <c r="U12" s="309">
        <v>0</v>
      </c>
      <c r="V12" s="309">
        <v>0</v>
      </c>
      <c r="W12" s="309">
        <v>0</v>
      </c>
      <c r="X12" s="309">
        <v>0</v>
      </c>
      <c r="Y12" s="309">
        <v>0</v>
      </c>
      <c r="Z12" s="309"/>
      <c r="AA12" s="309">
        <f t="shared" si="5"/>
        <v>0</v>
      </c>
      <c r="AB12" s="309">
        <f t="shared" si="6"/>
        <v>0</v>
      </c>
      <c r="AC12" s="309"/>
      <c r="AD12" s="309">
        <v>0</v>
      </c>
      <c r="AE12" s="309">
        <v>0</v>
      </c>
      <c r="AF12" s="309">
        <v>0</v>
      </c>
      <c r="AG12" s="309">
        <v>0</v>
      </c>
      <c r="AH12" s="309">
        <v>0</v>
      </c>
      <c r="AI12" s="309"/>
      <c r="AJ12" s="309">
        <f t="shared" si="7"/>
        <v>0</v>
      </c>
      <c r="AK12" s="309">
        <f t="shared" si="8"/>
        <v>0</v>
      </c>
      <c r="AL12" s="309"/>
      <c r="AM12" s="309">
        <v>25000</v>
      </c>
      <c r="AN12" s="309">
        <v>0</v>
      </c>
      <c r="AO12" s="309">
        <v>0</v>
      </c>
      <c r="AP12" s="309">
        <v>1250</v>
      </c>
      <c r="AQ12" s="309">
        <v>1250</v>
      </c>
      <c r="AR12" s="309"/>
      <c r="AS12" s="309">
        <f t="shared" si="9"/>
        <v>2500</v>
      </c>
      <c r="AT12" s="309">
        <f t="shared" si="10"/>
        <v>22500</v>
      </c>
      <c r="AU12" s="309"/>
      <c r="AV12" s="309">
        <v>142500</v>
      </c>
      <c r="AW12" s="309">
        <v>7125</v>
      </c>
      <c r="AX12" s="309">
        <v>7125</v>
      </c>
      <c r="AY12" s="309">
        <v>0</v>
      </c>
      <c r="AZ12" s="309">
        <v>0</v>
      </c>
      <c r="BA12" s="309"/>
      <c r="BB12" s="309">
        <f t="shared" si="11"/>
        <v>14250</v>
      </c>
      <c r="BC12" s="309">
        <f t="shared" si="12"/>
        <v>128250</v>
      </c>
      <c r="BD12" s="309"/>
      <c r="BE12" s="309">
        <v>0</v>
      </c>
      <c r="BF12" s="309">
        <v>0</v>
      </c>
      <c r="BG12" s="309">
        <v>0</v>
      </c>
      <c r="BH12" s="309">
        <v>0</v>
      </c>
      <c r="BI12" s="309">
        <v>0</v>
      </c>
      <c r="BJ12" s="309"/>
      <c r="BK12" s="309">
        <f t="shared" si="13"/>
        <v>0</v>
      </c>
      <c r="BL12" s="309">
        <f t="shared" si="14"/>
        <v>0</v>
      </c>
      <c r="BM12" s="309"/>
      <c r="BN12" s="309">
        <v>0</v>
      </c>
      <c r="BO12" s="309">
        <v>0</v>
      </c>
      <c r="BP12" s="309">
        <v>0</v>
      </c>
      <c r="BQ12" s="309">
        <v>0</v>
      </c>
      <c r="BR12" s="309">
        <v>0</v>
      </c>
      <c r="BS12" s="309"/>
      <c r="BT12" s="309">
        <f t="shared" si="15"/>
        <v>0</v>
      </c>
      <c r="BU12" s="309">
        <f t="shared" si="16"/>
        <v>0</v>
      </c>
      <c r="BV12" s="309"/>
      <c r="BW12" s="309">
        <v>0</v>
      </c>
      <c r="BX12" s="309">
        <v>0</v>
      </c>
      <c r="BY12" s="309">
        <v>0</v>
      </c>
      <c r="BZ12" s="309">
        <v>0</v>
      </c>
      <c r="CA12" s="309">
        <v>0</v>
      </c>
      <c r="CB12" s="309"/>
      <c r="CC12" s="309">
        <f t="shared" si="17"/>
        <v>0</v>
      </c>
      <c r="CD12" s="309">
        <f t="shared" si="18"/>
        <v>0</v>
      </c>
      <c r="CE12" s="309"/>
      <c r="CF12" s="309">
        <v>0</v>
      </c>
      <c r="CG12" s="309">
        <v>0</v>
      </c>
      <c r="CH12" s="309">
        <v>0</v>
      </c>
      <c r="CI12" s="309">
        <v>0</v>
      </c>
      <c r="CJ12" s="309">
        <v>0</v>
      </c>
      <c r="CK12" s="309"/>
      <c r="CL12" s="309">
        <f t="shared" si="19"/>
        <v>0</v>
      </c>
      <c r="CM12" s="309">
        <f t="shared" si="20"/>
        <v>0</v>
      </c>
      <c r="CN12" s="309"/>
      <c r="CO12" s="309">
        <v>0</v>
      </c>
      <c r="CP12" s="309">
        <v>0</v>
      </c>
      <c r="CQ12" s="309">
        <v>0</v>
      </c>
      <c r="CR12" s="309">
        <v>0</v>
      </c>
      <c r="CS12" s="309">
        <v>0</v>
      </c>
      <c r="CT12" s="309"/>
      <c r="CU12" s="309">
        <f t="shared" si="21"/>
        <v>0</v>
      </c>
      <c r="CV12" s="309">
        <f t="shared" si="22"/>
        <v>0</v>
      </c>
      <c r="CW12" s="309"/>
      <c r="CX12" s="309">
        <v>0</v>
      </c>
      <c r="CY12" s="309">
        <v>0</v>
      </c>
      <c r="CZ12" s="309">
        <v>0</v>
      </c>
      <c r="DA12" s="309">
        <v>0</v>
      </c>
      <c r="DB12" s="309">
        <v>0</v>
      </c>
      <c r="DC12" s="309"/>
      <c r="DD12" s="309">
        <f t="shared" si="23"/>
        <v>0</v>
      </c>
      <c r="DE12" s="309">
        <f t="shared" si="24"/>
        <v>0</v>
      </c>
      <c r="DF12" s="309"/>
      <c r="DG12" s="309">
        <f t="shared" si="25"/>
        <v>262500</v>
      </c>
      <c r="DH12" s="309">
        <f t="shared" si="0"/>
        <v>7125</v>
      </c>
      <c r="DI12" s="309">
        <f t="shared" si="0"/>
        <v>7125</v>
      </c>
      <c r="DJ12" s="309">
        <f t="shared" si="0"/>
        <v>6000</v>
      </c>
      <c r="DK12" s="309">
        <f t="shared" si="0"/>
        <v>6000</v>
      </c>
      <c r="DL12" s="309"/>
      <c r="DM12" s="309">
        <f t="shared" si="26"/>
        <v>26250</v>
      </c>
      <c r="DN12" s="309">
        <f t="shared" si="27"/>
        <v>236250</v>
      </c>
      <c r="DO12" s="509"/>
    </row>
    <row r="13" spans="1:119" s="426" customFormat="1" ht="20.25" customHeight="1" x14ac:dyDescent="0.2">
      <c r="A13" s="307">
        <v>4</v>
      </c>
      <c r="B13" s="423" t="s">
        <v>161</v>
      </c>
      <c r="C13" s="309">
        <v>0</v>
      </c>
      <c r="D13" s="309">
        <v>0</v>
      </c>
      <c r="E13" s="309">
        <v>0</v>
      </c>
      <c r="F13" s="309">
        <v>0</v>
      </c>
      <c r="G13" s="309">
        <v>0</v>
      </c>
      <c r="H13" s="312"/>
      <c r="I13" s="309">
        <f t="shared" si="1"/>
        <v>0</v>
      </c>
      <c r="J13" s="309">
        <f t="shared" si="2"/>
        <v>0</v>
      </c>
      <c r="K13" s="309"/>
      <c r="L13" s="309">
        <v>371614</v>
      </c>
      <c r="M13" s="309">
        <v>6325.7</v>
      </c>
      <c r="N13" s="309">
        <v>6325.7</v>
      </c>
      <c r="O13" s="309">
        <v>19608</v>
      </c>
      <c r="P13" s="309">
        <v>19608</v>
      </c>
      <c r="Q13" s="312"/>
      <c r="R13" s="309">
        <f t="shared" si="3"/>
        <v>51867.4</v>
      </c>
      <c r="S13" s="309">
        <f t="shared" si="4"/>
        <v>319746.59999999998</v>
      </c>
      <c r="T13" s="309"/>
      <c r="U13" s="309">
        <v>490200</v>
      </c>
      <c r="V13" s="309">
        <v>0</v>
      </c>
      <c r="W13" s="309">
        <v>0</v>
      </c>
      <c r="X13" s="309">
        <v>39216</v>
      </c>
      <c r="Y13" s="309">
        <v>39216</v>
      </c>
      <c r="Z13" s="309"/>
      <c r="AA13" s="309">
        <f t="shared" si="5"/>
        <v>78432</v>
      </c>
      <c r="AB13" s="309">
        <f t="shared" si="6"/>
        <v>411768</v>
      </c>
      <c r="AC13" s="309"/>
      <c r="AD13" s="309">
        <v>44175</v>
      </c>
      <c r="AE13" s="309">
        <v>0</v>
      </c>
      <c r="AF13" s="309">
        <v>0</v>
      </c>
      <c r="AG13" s="309">
        <v>2466.25</v>
      </c>
      <c r="AH13" s="309">
        <v>2466.25</v>
      </c>
      <c r="AI13" s="309"/>
      <c r="AJ13" s="309">
        <f t="shared" si="7"/>
        <v>4932.5</v>
      </c>
      <c r="AK13" s="309">
        <f t="shared" si="8"/>
        <v>39242.5</v>
      </c>
      <c r="AL13" s="309"/>
      <c r="AM13" s="309">
        <v>870565</v>
      </c>
      <c r="AN13" s="309">
        <v>0</v>
      </c>
      <c r="AO13" s="309">
        <v>0</v>
      </c>
      <c r="AP13" s="309">
        <v>4750</v>
      </c>
      <c r="AQ13" s="309">
        <v>4750</v>
      </c>
      <c r="AR13" s="309"/>
      <c r="AS13" s="309">
        <f t="shared" si="9"/>
        <v>9500</v>
      </c>
      <c r="AT13" s="309">
        <f t="shared" si="10"/>
        <v>861065</v>
      </c>
      <c r="AU13" s="309"/>
      <c r="AV13" s="309">
        <v>908000</v>
      </c>
      <c r="AW13" s="309">
        <v>0</v>
      </c>
      <c r="AX13" s="309">
        <v>0</v>
      </c>
      <c r="AY13" s="309">
        <v>40179.5</v>
      </c>
      <c r="AZ13" s="309">
        <v>40179.5</v>
      </c>
      <c r="BA13" s="309"/>
      <c r="BB13" s="309">
        <f t="shared" si="11"/>
        <v>80359</v>
      </c>
      <c r="BC13" s="309">
        <f t="shared" si="12"/>
        <v>827641</v>
      </c>
      <c r="BD13" s="309"/>
      <c r="BE13" s="309">
        <v>0</v>
      </c>
      <c r="BF13" s="309">
        <v>0</v>
      </c>
      <c r="BG13" s="309">
        <v>0</v>
      </c>
      <c r="BH13" s="309">
        <v>0</v>
      </c>
      <c r="BI13" s="309">
        <v>0</v>
      </c>
      <c r="BJ13" s="309"/>
      <c r="BK13" s="309">
        <f t="shared" si="13"/>
        <v>0</v>
      </c>
      <c r="BL13" s="309">
        <f t="shared" si="14"/>
        <v>0</v>
      </c>
      <c r="BM13" s="309"/>
      <c r="BN13" s="309">
        <v>0</v>
      </c>
      <c r="BO13" s="309">
        <v>0</v>
      </c>
      <c r="BP13" s="309">
        <v>0</v>
      </c>
      <c r="BQ13" s="309">
        <v>0</v>
      </c>
      <c r="BR13" s="309">
        <v>0</v>
      </c>
      <c r="BS13" s="309"/>
      <c r="BT13" s="309">
        <f t="shared" si="15"/>
        <v>0</v>
      </c>
      <c r="BU13" s="309">
        <f t="shared" si="16"/>
        <v>0</v>
      </c>
      <c r="BV13" s="309"/>
      <c r="BW13" s="309">
        <v>0</v>
      </c>
      <c r="BX13" s="309">
        <v>0</v>
      </c>
      <c r="BY13" s="309">
        <v>0</v>
      </c>
      <c r="BZ13" s="309">
        <v>0</v>
      </c>
      <c r="CA13" s="309">
        <v>0</v>
      </c>
      <c r="CB13" s="309"/>
      <c r="CC13" s="309">
        <f t="shared" si="17"/>
        <v>0</v>
      </c>
      <c r="CD13" s="309">
        <f t="shared" si="18"/>
        <v>0</v>
      </c>
      <c r="CE13" s="309"/>
      <c r="CF13" s="309">
        <v>0</v>
      </c>
      <c r="CG13" s="309">
        <v>0</v>
      </c>
      <c r="CH13" s="309">
        <v>0</v>
      </c>
      <c r="CI13" s="309">
        <v>0</v>
      </c>
      <c r="CJ13" s="309">
        <v>0</v>
      </c>
      <c r="CK13" s="309"/>
      <c r="CL13" s="309">
        <f t="shared" si="19"/>
        <v>0</v>
      </c>
      <c r="CM13" s="309">
        <f t="shared" si="20"/>
        <v>0</v>
      </c>
      <c r="CN13" s="309"/>
      <c r="CO13" s="309">
        <v>0</v>
      </c>
      <c r="CP13" s="309">
        <v>0</v>
      </c>
      <c r="CQ13" s="309">
        <v>0</v>
      </c>
      <c r="CR13" s="309">
        <v>0</v>
      </c>
      <c r="CS13" s="309">
        <v>0</v>
      </c>
      <c r="CT13" s="309"/>
      <c r="CU13" s="309">
        <f t="shared" si="21"/>
        <v>0</v>
      </c>
      <c r="CV13" s="309">
        <f t="shared" si="22"/>
        <v>0</v>
      </c>
      <c r="CW13" s="309"/>
      <c r="CX13" s="309">
        <v>0</v>
      </c>
      <c r="CY13" s="309">
        <v>0</v>
      </c>
      <c r="CZ13" s="309">
        <v>0</v>
      </c>
      <c r="DA13" s="309">
        <v>0</v>
      </c>
      <c r="DB13" s="309">
        <v>0</v>
      </c>
      <c r="DC13" s="309"/>
      <c r="DD13" s="309">
        <f t="shared" si="23"/>
        <v>0</v>
      </c>
      <c r="DE13" s="309">
        <f t="shared" si="24"/>
        <v>0</v>
      </c>
      <c r="DF13" s="309"/>
      <c r="DG13" s="309">
        <f t="shared" si="25"/>
        <v>2684554</v>
      </c>
      <c r="DH13" s="309">
        <f t="shared" si="0"/>
        <v>6325.7</v>
      </c>
      <c r="DI13" s="309">
        <f t="shared" si="0"/>
        <v>6325.7</v>
      </c>
      <c r="DJ13" s="309">
        <f t="shared" si="0"/>
        <v>106219.75</v>
      </c>
      <c r="DK13" s="309">
        <f t="shared" si="0"/>
        <v>106219.75</v>
      </c>
      <c r="DL13" s="309"/>
      <c r="DM13" s="309">
        <f t="shared" si="26"/>
        <v>225090.9</v>
      </c>
      <c r="DN13" s="309">
        <f t="shared" si="27"/>
        <v>2459463.1</v>
      </c>
      <c r="DO13" s="509"/>
    </row>
    <row r="14" spans="1:119" s="429" customFormat="1" ht="20.25" hidden="1" customHeight="1" x14ac:dyDescent="0.2">
      <c r="A14" s="307">
        <v>5</v>
      </c>
      <c r="B14" s="427" t="s">
        <v>156</v>
      </c>
      <c r="C14" s="309">
        <v>0</v>
      </c>
      <c r="D14" s="309">
        <v>0</v>
      </c>
      <c r="E14" s="309">
        <v>0</v>
      </c>
      <c r="F14" s="309">
        <v>0</v>
      </c>
      <c r="G14" s="309">
        <v>0</v>
      </c>
      <c r="H14" s="312"/>
      <c r="I14" s="309">
        <f t="shared" si="1"/>
        <v>0</v>
      </c>
      <c r="J14" s="309">
        <f t="shared" si="2"/>
        <v>0</v>
      </c>
      <c r="K14" s="309"/>
      <c r="L14" s="309">
        <v>0</v>
      </c>
      <c r="M14" s="309">
        <v>0</v>
      </c>
      <c r="N14" s="309">
        <v>0</v>
      </c>
      <c r="O14" s="309">
        <v>0</v>
      </c>
      <c r="P14" s="309">
        <v>0</v>
      </c>
      <c r="Q14" s="312"/>
      <c r="R14" s="309">
        <f t="shared" si="3"/>
        <v>0</v>
      </c>
      <c r="S14" s="309">
        <f t="shared" si="4"/>
        <v>0</v>
      </c>
      <c r="T14" s="309"/>
      <c r="U14" s="309">
        <v>0</v>
      </c>
      <c r="V14" s="309">
        <v>0</v>
      </c>
      <c r="W14" s="309">
        <v>0</v>
      </c>
      <c r="X14" s="309">
        <v>0</v>
      </c>
      <c r="Y14" s="309">
        <v>0</v>
      </c>
      <c r="Z14" s="309"/>
      <c r="AA14" s="309">
        <f t="shared" si="5"/>
        <v>0</v>
      </c>
      <c r="AB14" s="309">
        <f t="shared" si="6"/>
        <v>0</v>
      </c>
      <c r="AC14" s="309"/>
      <c r="AD14" s="309">
        <v>0</v>
      </c>
      <c r="AE14" s="309">
        <v>0</v>
      </c>
      <c r="AF14" s="309">
        <v>0</v>
      </c>
      <c r="AG14" s="309">
        <v>0</v>
      </c>
      <c r="AH14" s="309">
        <v>0</v>
      </c>
      <c r="AI14" s="309"/>
      <c r="AJ14" s="309">
        <f t="shared" si="7"/>
        <v>0</v>
      </c>
      <c r="AK14" s="309">
        <f t="shared" si="8"/>
        <v>0</v>
      </c>
      <c r="AL14" s="309"/>
      <c r="AM14" s="309">
        <v>0</v>
      </c>
      <c r="AN14" s="309">
        <v>0</v>
      </c>
      <c r="AO14" s="309">
        <v>0</v>
      </c>
      <c r="AP14" s="309">
        <v>0</v>
      </c>
      <c r="AQ14" s="309">
        <v>0</v>
      </c>
      <c r="AR14" s="309"/>
      <c r="AS14" s="309">
        <f t="shared" si="9"/>
        <v>0</v>
      </c>
      <c r="AT14" s="309">
        <f t="shared" si="10"/>
        <v>0</v>
      </c>
      <c r="AU14" s="309"/>
      <c r="AV14" s="309">
        <v>67373.070000000007</v>
      </c>
      <c r="AW14" s="309">
        <v>0</v>
      </c>
      <c r="AX14" s="309">
        <v>0</v>
      </c>
      <c r="AY14" s="309">
        <v>0</v>
      </c>
      <c r="AZ14" s="309">
        <v>0</v>
      </c>
      <c r="BA14" s="309"/>
      <c r="BB14" s="309">
        <f t="shared" si="11"/>
        <v>0</v>
      </c>
      <c r="BC14" s="309">
        <f t="shared" si="12"/>
        <v>67373.070000000007</v>
      </c>
      <c r="BD14" s="309"/>
      <c r="BE14" s="309">
        <v>0</v>
      </c>
      <c r="BF14" s="309">
        <v>0</v>
      </c>
      <c r="BG14" s="309">
        <v>0</v>
      </c>
      <c r="BH14" s="309">
        <v>0</v>
      </c>
      <c r="BI14" s="309">
        <v>0</v>
      </c>
      <c r="BJ14" s="309"/>
      <c r="BK14" s="309">
        <f t="shared" si="13"/>
        <v>0</v>
      </c>
      <c r="BL14" s="309">
        <f t="shared" si="14"/>
        <v>0</v>
      </c>
      <c r="BM14" s="309"/>
      <c r="BN14" s="309">
        <v>0</v>
      </c>
      <c r="BO14" s="309">
        <v>0</v>
      </c>
      <c r="BP14" s="309">
        <v>0</v>
      </c>
      <c r="BQ14" s="309">
        <v>0</v>
      </c>
      <c r="BR14" s="309">
        <v>0</v>
      </c>
      <c r="BS14" s="309"/>
      <c r="BT14" s="309">
        <f t="shared" si="15"/>
        <v>0</v>
      </c>
      <c r="BU14" s="309">
        <f t="shared" si="16"/>
        <v>0</v>
      </c>
      <c r="BV14" s="309"/>
      <c r="BW14" s="309">
        <v>0</v>
      </c>
      <c r="BX14" s="309">
        <v>0</v>
      </c>
      <c r="BY14" s="309">
        <v>0</v>
      </c>
      <c r="BZ14" s="309">
        <v>0</v>
      </c>
      <c r="CA14" s="309">
        <v>0</v>
      </c>
      <c r="CB14" s="309"/>
      <c r="CC14" s="309">
        <f t="shared" si="17"/>
        <v>0</v>
      </c>
      <c r="CD14" s="309">
        <f t="shared" si="18"/>
        <v>0</v>
      </c>
      <c r="CE14" s="309"/>
      <c r="CF14" s="309">
        <v>0</v>
      </c>
      <c r="CG14" s="309">
        <v>0</v>
      </c>
      <c r="CH14" s="309">
        <v>0</v>
      </c>
      <c r="CI14" s="309">
        <v>0</v>
      </c>
      <c r="CJ14" s="309">
        <v>0</v>
      </c>
      <c r="CK14" s="309"/>
      <c r="CL14" s="309">
        <f t="shared" si="19"/>
        <v>0</v>
      </c>
      <c r="CM14" s="309">
        <f t="shared" si="20"/>
        <v>0</v>
      </c>
      <c r="CN14" s="309"/>
      <c r="CO14" s="309">
        <v>0</v>
      </c>
      <c r="CP14" s="309">
        <v>0</v>
      </c>
      <c r="CQ14" s="309">
        <v>0</v>
      </c>
      <c r="CR14" s="309">
        <v>0</v>
      </c>
      <c r="CS14" s="309">
        <v>0</v>
      </c>
      <c r="CT14" s="309"/>
      <c r="CU14" s="309">
        <f t="shared" si="21"/>
        <v>0</v>
      </c>
      <c r="CV14" s="309">
        <f t="shared" si="22"/>
        <v>0</v>
      </c>
      <c r="CW14" s="309"/>
      <c r="CX14" s="309">
        <v>0</v>
      </c>
      <c r="CY14" s="309">
        <v>0</v>
      </c>
      <c r="CZ14" s="309">
        <v>0</v>
      </c>
      <c r="DA14" s="309">
        <v>0</v>
      </c>
      <c r="DB14" s="309">
        <v>0</v>
      </c>
      <c r="DC14" s="309"/>
      <c r="DD14" s="309">
        <f t="shared" si="23"/>
        <v>0</v>
      </c>
      <c r="DE14" s="309">
        <f t="shared" si="24"/>
        <v>0</v>
      </c>
      <c r="DF14" s="309"/>
      <c r="DG14" s="309">
        <f t="shared" si="25"/>
        <v>67373.070000000007</v>
      </c>
      <c r="DH14" s="309">
        <f t="shared" si="0"/>
        <v>0</v>
      </c>
      <c r="DI14" s="309">
        <f t="shared" si="0"/>
        <v>0</v>
      </c>
      <c r="DJ14" s="309">
        <f t="shared" si="0"/>
        <v>0</v>
      </c>
      <c r="DK14" s="309">
        <f t="shared" si="0"/>
        <v>0</v>
      </c>
      <c r="DL14" s="309"/>
      <c r="DM14" s="309">
        <f t="shared" si="26"/>
        <v>0</v>
      </c>
      <c r="DN14" s="309">
        <f t="shared" si="27"/>
        <v>67373.070000000007</v>
      </c>
      <c r="DO14" s="509"/>
    </row>
    <row r="15" spans="1:119" s="313" customFormat="1" ht="20.25" customHeight="1" x14ac:dyDescent="0.2">
      <c r="A15" s="307">
        <v>6</v>
      </c>
      <c r="B15" s="308" t="s">
        <v>2434</v>
      </c>
      <c r="C15" s="309">
        <v>0</v>
      </c>
      <c r="D15" s="309">
        <v>0</v>
      </c>
      <c r="E15" s="309">
        <v>0</v>
      </c>
      <c r="F15" s="309">
        <v>0</v>
      </c>
      <c r="G15" s="309">
        <v>0</v>
      </c>
      <c r="H15" s="312"/>
      <c r="I15" s="309">
        <f t="shared" si="1"/>
        <v>0</v>
      </c>
      <c r="J15" s="309">
        <f t="shared" si="2"/>
        <v>0</v>
      </c>
      <c r="K15" s="309"/>
      <c r="L15" s="309">
        <v>0</v>
      </c>
      <c r="M15" s="309">
        <v>0</v>
      </c>
      <c r="N15" s="309">
        <v>0</v>
      </c>
      <c r="O15" s="309">
        <v>0</v>
      </c>
      <c r="P15" s="309">
        <v>0</v>
      </c>
      <c r="Q15" s="312"/>
      <c r="R15" s="309">
        <f t="shared" si="3"/>
        <v>0</v>
      </c>
      <c r="S15" s="309">
        <f t="shared" si="4"/>
        <v>0</v>
      </c>
      <c r="T15" s="309"/>
      <c r="U15" s="309">
        <v>357271.2</v>
      </c>
      <c r="V15" s="309">
        <v>28581.7</v>
      </c>
      <c r="W15" s="309">
        <v>28581.7</v>
      </c>
      <c r="X15" s="309">
        <v>0</v>
      </c>
      <c r="Y15" s="309">
        <v>0</v>
      </c>
      <c r="Z15" s="309"/>
      <c r="AA15" s="309">
        <f t="shared" si="5"/>
        <v>57163.4</v>
      </c>
      <c r="AB15" s="309">
        <f t="shared" si="6"/>
        <v>300107.8</v>
      </c>
      <c r="AC15" s="309"/>
      <c r="AD15" s="309">
        <v>0</v>
      </c>
      <c r="AE15" s="309">
        <v>0</v>
      </c>
      <c r="AF15" s="309">
        <v>0</v>
      </c>
      <c r="AG15" s="309">
        <v>0</v>
      </c>
      <c r="AH15" s="309">
        <v>0</v>
      </c>
      <c r="AI15" s="309"/>
      <c r="AJ15" s="309">
        <f t="shared" si="7"/>
        <v>0</v>
      </c>
      <c r="AK15" s="309">
        <f t="shared" si="8"/>
        <v>0</v>
      </c>
      <c r="AL15" s="309"/>
      <c r="AM15" s="309">
        <v>647610</v>
      </c>
      <c r="AN15" s="309">
        <v>0</v>
      </c>
      <c r="AO15" s="309">
        <v>0</v>
      </c>
      <c r="AP15" s="309">
        <v>9500</v>
      </c>
      <c r="AQ15" s="309">
        <v>9500</v>
      </c>
      <c r="AR15" s="309"/>
      <c r="AS15" s="309">
        <f t="shared" si="9"/>
        <v>19000</v>
      </c>
      <c r="AT15" s="309">
        <f t="shared" si="10"/>
        <v>628610</v>
      </c>
      <c r="AU15" s="309"/>
      <c r="AV15" s="309">
        <v>78000</v>
      </c>
      <c r="AW15" s="309">
        <v>1000</v>
      </c>
      <c r="AX15" s="309">
        <v>1000</v>
      </c>
      <c r="AY15" s="309">
        <v>0</v>
      </c>
      <c r="AZ15" s="309">
        <v>0</v>
      </c>
      <c r="BA15" s="309"/>
      <c r="BB15" s="309">
        <f t="shared" si="11"/>
        <v>2000</v>
      </c>
      <c r="BC15" s="309">
        <f t="shared" si="12"/>
        <v>76000</v>
      </c>
      <c r="BD15" s="309"/>
      <c r="BE15" s="309">
        <v>0</v>
      </c>
      <c r="BF15" s="309">
        <v>0</v>
      </c>
      <c r="BG15" s="309">
        <v>0</v>
      </c>
      <c r="BH15" s="309">
        <v>0</v>
      </c>
      <c r="BI15" s="309">
        <v>0</v>
      </c>
      <c r="BJ15" s="309"/>
      <c r="BK15" s="309">
        <f t="shared" si="13"/>
        <v>0</v>
      </c>
      <c r="BL15" s="309">
        <f t="shared" si="14"/>
        <v>0</v>
      </c>
      <c r="BM15" s="309"/>
      <c r="BN15" s="309">
        <v>0</v>
      </c>
      <c r="BO15" s="309">
        <v>0</v>
      </c>
      <c r="BP15" s="309">
        <v>0</v>
      </c>
      <c r="BQ15" s="309">
        <v>0</v>
      </c>
      <c r="BR15" s="309">
        <v>0</v>
      </c>
      <c r="BS15" s="309"/>
      <c r="BT15" s="309">
        <f t="shared" si="15"/>
        <v>0</v>
      </c>
      <c r="BU15" s="309">
        <f t="shared" si="16"/>
        <v>0</v>
      </c>
      <c r="BV15" s="309"/>
      <c r="BW15" s="309">
        <v>0</v>
      </c>
      <c r="BX15" s="309">
        <v>0</v>
      </c>
      <c r="BY15" s="309">
        <v>0</v>
      </c>
      <c r="BZ15" s="309">
        <v>0</v>
      </c>
      <c r="CA15" s="309">
        <v>0</v>
      </c>
      <c r="CB15" s="309"/>
      <c r="CC15" s="309">
        <f t="shared" si="17"/>
        <v>0</v>
      </c>
      <c r="CD15" s="309">
        <f t="shared" si="18"/>
        <v>0</v>
      </c>
      <c r="CE15" s="309"/>
      <c r="CF15" s="309">
        <v>0</v>
      </c>
      <c r="CG15" s="309">
        <v>0</v>
      </c>
      <c r="CH15" s="309">
        <v>0</v>
      </c>
      <c r="CI15" s="309">
        <v>0</v>
      </c>
      <c r="CJ15" s="309">
        <v>0</v>
      </c>
      <c r="CK15" s="309"/>
      <c r="CL15" s="309">
        <f t="shared" si="19"/>
        <v>0</v>
      </c>
      <c r="CM15" s="309">
        <f t="shared" si="20"/>
        <v>0</v>
      </c>
      <c r="CN15" s="309"/>
      <c r="CO15" s="309">
        <v>0</v>
      </c>
      <c r="CP15" s="309">
        <v>0</v>
      </c>
      <c r="CQ15" s="309">
        <v>0</v>
      </c>
      <c r="CR15" s="309">
        <v>0</v>
      </c>
      <c r="CS15" s="309">
        <v>0</v>
      </c>
      <c r="CT15" s="309"/>
      <c r="CU15" s="309">
        <f t="shared" si="21"/>
        <v>0</v>
      </c>
      <c r="CV15" s="309">
        <f t="shared" si="22"/>
        <v>0</v>
      </c>
      <c r="CW15" s="309"/>
      <c r="CX15" s="309">
        <v>0</v>
      </c>
      <c r="CY15" s="309">
        <v>0</v>
      </c>
      <c r="CZ15" s="309">
        <v>0</v>
      </c>
      <c r="DA15" s="309">
        <v>0</v>
      </c>
      <c r="DB15" s="309">
        <v>0</v>
      </c>
      <c r="DC15" s="309"/>
      <c r="DD15" s="309">
        <f t="shared" si="23"/>
        <v>0</v>
      </c>
      <c r="DE15" s="309">
        <f t="shared" si="24"/>
        <v>0</v>
      </c>
      <c r="DF15" s="309"/>
      <c r="DG15" s="309">
        <f t="shared" si="25"/>
        <v>1082881.2</v>
      </c>
      <c r="DH15" s="309">
        <f t="shared" si="0"/>
        <v>29581.7</v>
      </c>
      <c r="DI15" s="309">
        <f t="shared" si="0"/>
        <v>29581.7</v>
      </c>
      <c r="DJ15" s="309">
        <f t="shared" si="0"/>
        <v>9500</v>
      </c>
      <c r="DK15" s="309">
        <f t="shared" si="0"/>
        <v>9500</v>
      </c>
      <c r="DL15" s="309"/>
      <c r="DM15" s="309">
        <f t="shared" si="26"/>
        <v>78163.399999999994</v>
      </c>
      <c r="DN15" s="309">
        <f t="shared" si="27"/>
        <v>1004717.7999999999</v>
      </c>
      <c r="DO15" s="509"/>
    </row>
    <row r="16" spans="1:119" s="313" customFormat="1" ht="20.25" hidden="1" customHeight="1" x14ac:dyDescent="0.2">
      <c r="A16" s="307">
        <v>7</v>
      </c>
      <c r="B16" s="308" t="s">
        <v>1229</v>
      </c>
      <c r="C16" s="309">
        <v>0</v>
      </c>
      <c r="D16" s="309">
        <v>0</v>
      </c>
      <c r="E16" s="309">
        <v>0</v>
      </c>
      <c r="F16" s="309">
        <v>0</v>
      </c>
      <c r="G16" s="309">
        <v>0</v>
      </c>
      <c r="H16" s="312"/>
      <c r="I16" s="309">
        <f t="shared" si="1"/>
        <v>0</v>
      </c>
      <c r="J16" s="309">
        <f t="shared" si="2"/>
        <v>0</v>
      </c>
      <c r="K16" s="309"/>
      <c r="L16" s="309">
        <v>0</v>
      </c>
      <c r="M16" s="309">
        <v>0</v>
      </c>
      <c r="N16" s="309">
        <v>0</v>
      </c>
      <c r="O16" s="309">
        <v>0</v>
      </c>
      <c r="P16" s="309">
        <v>0</v>
      </c>
      <c r="Q16" s="312"/>
      <c r="R16" s="309">
        <f t="shared" si="3"/>
        <v>0</v>
      </c>
      <c r="S16" s="309">
        <f t="shared" si="4"/>
        <v>0</v>
      </c>
      <c r="T16" s="309"/>
      <c r="U16" s="309">
        <v>0</v>
      </c>
      <c r="V16" s="309">
        <v>0</v>
      </c>
      <c r="W16" s="309">
        <v>0</v>
      </c>
      <c r="X16" s="309">
        <v>0</v>
      </c>
      <c r="Y16" s="309">
        <v>0</v>
      </c>
      <c r="Z16" s="309"/>
      <c r="AA16" s="309">
        <f t="shared" si="5"/>
        <v>0</v>
      </c>
      <c r="AB16" s="309">
        <f t="shared" si="6"/>
        <v>0</v>
      </c>
      <c r="AC16" s="309"/>
      <c r="AD16" s="309">
        <v>10000</v>
      </c>
      <c r="AE16" s="309">
        <v>500</v>
      </c>
      <c r="AF16" s="309">
        <v>500</v>
      </c>
      <c r="AG16" s="309">
        <v>0</v>
      </c>
      <c r="AH16" s="309">
        <v>0</v>
      </c>
      <c r="AI16" s="309"/>
      <c r="AJ16" s="309">
        <f t="shared" si="7"/>
        <v>1000</v>
      </c>
      <c r="AK16" s="309">
        <f t="shared" si="8"/>
        <v>9000</v>
      </c>
      <c r="AL16" s="309"/>
      <c r="AM16" s="309">
        <v>10000</v>
      </c>
      <c r="AN16" s="309">
        <v>500</v>
      </c>
      <c r="AO16" s="309">
        <v>500</v>
      </c>
      <c r="AP16" s="309">
        <v>0</v>
      </c>
      <c r="AQ16" s="309">
        <v>0</v>
      </c>
      <c r="AR16" s="309"/>
      <c r="AS16" s="309">
        <f t="shared" si="9"/>
        <v>1000</v>
      </c>
      <c r="AT16" s="309">
        <f t="shared" si="10"/>
        <v>9000</v>
      </c>
      <c r="AU16" s="309"/>
      <c r="AV16" s="309">
        <v>395000</v>
      </c>
      <c r="AW16" s="309">
        <v>0</v>
      </c>
      <c r="AX16" s="309">
        <v>0</v>
      </c>
      <c r="AY16" s="309">
        <v>4750</v>
      </c>
      <c r="AZ16" s="309">
        <v>4750</v>
      </c>
      <c r="BA16" s="309"/>
      <c r="BB16" s="309">
        <f t="shared" si="11"/>
        <v>9500</v>
      </c>
      <c r="BC16" s="309">
        <f t="shared" si="12"/>
        <v>385500</v>
      </c>
      <c r="BD16" s="309"/>
      <c r="BE16" s="309">
        <v>0</v>
      </c>
      <c r="BF16" s="309">
        <v>0</v>
      </c>
      <c r="BG16" s="309">
        <v>0</v>
      </c>
      <c r="BH16" s="309">
        <v>0</v>
      </c>
      <c r="BI16" s="309">
        <v>0</v>
      </c>
      <c r="BJ16" s="309"/>
      <c r="BK16" s="309">
        <f t="shared" si="13"/>
        <v>0</v>
      </c>
      <c r="BL16" s="309">
        <f t="shared" si="14"/>
        <v>0</v>
      </c>
      <c r="BM16" s="309"/>
      <c r="BN16" s="309">
        <v>0</v>
      </c>
      <c r="BO16" s="309">
        <v>0</v>
      </c>
      <c r="BP16" s="309">
        <v>0</v>
      </c>
      <c r="BQ16" s="309">
        <v>0</v>
      </c>
      <c r="BR16" s="309">
        <v>0</v>
      </c>
      <c r="BS16" s="309"/>
      <c r="BT16" s="309">
        <f t="shared" si="15"/>
        <v>0</v>
      </c>
      <c r="BU16" s="309">
        <f t="shared" si="16"/>
        <v>0</v>
      </c>
      <c r="BV16" s="309"/>
      <c r="BW16" s="309">
        <v>0</v>
      </c>
      <c r="BX16" s="309">
        <v>0</v>
      </c>
      <c r="BY16" s="309">
        <v>0</v>
      </c>
      <c r="BZ16" s="309">
        <v>0</v>
      </c>
      <c r="CA16" s="309">
        <v>0</v>
      </c>
      <c r="CB16" s="309"/>
      <c r="CC16" s="309">
        <f t="shared" si="17"/>
        <v>0</v>
      </c>
      <c r="CD16" s="309">
        <f t="shared" si="18"/>
        <v>0</v>
      </c>
      <c r="CE16" s="309"/>
      <c r="CF16" s="309">
        <v>0</v>
      </c>
      <c r="CG16" s="309">
        <v>0</v>
      </c>
      <c r="CH16" s="309">
        <v>0</v>
      </c>
      <c r="CI16" s="309">
        <v>0</v>
      </c>
      <c r="CJ16" s="309">
        <v>0</v>
      </c>
      <c r="CK16" s="309"/>
      <c r="CL16" s="309">
        <f t="shared" si="19"/>
        <v>0</v>
      </c>
      <c r="CM16" s="309">
        <f t="shared" si="20"/>
        <v>0</v>
      </c>
      <c r="CN16" s="309"/>
      <c r="CO16" s="309">
        <v>0</v>
      </c>
      <c r="CP16" s="309">
        <v>0</v>
      </c>
      <c r="CQ16" s="309">
        <v>0</v>
      </c>
      <c r="CR16" s="309">
        <v>0</v>
      </c>
      <c r="CS16" s="309">
        <v>0</v>
      </c>
      <c r="CT16" s="309"/>
      <c r="CU16" s="309">
        <f t="shared" si="21"/>
        <v>0</v>
      </c>
      <c r="CV16" s="309">
        <f t="shared" si="22"/>
        <v>0</v>
      </c>
      <c r="CW16" s="309"/>
      <c r="CX16" s="309">
        <v>0</v>
      </c>
      <c r="CY16" s="309">
        <v>0</v>
      </c>
      <c r="CZ16" s="309">
        <v>0</v>
      </c>
      <c r="DA16" s="309">
        <v>0</v>
      </c>
      <c r="DB16" s="309">
        <v>0</v>
      </c>
      <c r="DC16" s="309"/>
      <c r="DD16" s="309">
        <f t="shared" si="23"/>
        <v>0</v>
      </c>
      <c r="DE16" s="309">
        <f t="shared" si="24"/>
        <v>0</v>
      </c>
      <c r="DF16" s="309"/>
      <c r="DG16" s="309">
        <f t="shared" si="25"/>
        <v>415000</v>
      </c>
      <c r="DH16" s="309">
        <f t="shared" si="0"/>
        <v>1000</v>
      </c>
      <c r="DI16" s="309">
        <f t="shared" si="0"/>
        <v>1000</v>
      </c>
      <c r="DJ16" s="309">
        <f t="shared" si="0"/>
        <v>4750</v>
      </c>
      <c r="DK16" s="309">
        <f t="shared" si="0"/>
        <v>4750</v>
      </c>
      <c r="DL16" s="309"/>
      <c r="DM16" s="309">
        <f t="shared" si="26"/>
        <v>11500</v>
      </c>
      <c r="DN16" s="309">
        <f t="shared" si="27"/>
        <v>403500</v>
      </c>
      <c r="DO16" s="509"/>
    </row>
    <row r="17" spans="1:119" s="313" customFormat="1" ht="20.25" hidden="1" customHeight="1" x14ac:dyDescent="0.2">
      <c r="A17" s="307">
        <v>8</v>
      </c>
      <c r="B17" s="308" t="s">
        <v>308</v>
      </c>
      <c r="C17" s="309">
        <v>0</v>
      </c>
      <c r="D17" s="309">
        <v>0</v>
      </c>
      <c r="E17" s="309">
        <v>0</v>
      </c>
      <c r="F17" s="309">
        <v>0</v>
      </c>
      <c r="G17" s="309">
        <v>0</v>
      </c>
      <c r="H17" s="312"/>
      <c r="I17" s="309">
        <f t="shared" si="1"/>
        <v>0</v>
      </c>
      <c r="J17" s="309">
        <f t="shared" si="2"/>
        <v>0</v>
      </c>
      <c r="K17" s="309"/>
      <c r="L17" s="309">
        <v>0</v>
      </c>
      <c r="M17" s="309">
        <v>0</v>
      </c>
      <c r="N17" s="309">
        <v>0</v>
      </c>
      <c r="O17" s="309">
        <v>0</v>
      </c>
      <c r="P17" s="309">
        <v>0</v>
      </c>
      <c r="Q17" s="312"/>
      <c r="R17" s="309">
        <f t="shared" si="3"/>
        <v>0</v>
      </c>
      <c r="S17" s="309">
        <f t="shared" si="4"/>
        <v>0</v>
      </c>
      <c r="T17" s="309"/>
      <c r="U17" s="309">
        <v>0</v>
      </c>
      <c r="V17" s="309">
        <v>0</v>
      </c>
      <c r="W17" s="309">
        <v>0</v>
      </c>
      <c r="X17" s="309">
        <v>0</v>
      </c>
      <c r="Y17" s="309">
        <v>0</v>
      </c>
      <c r="Z17" s="309"/>
      <c r="AA17" s="309">
        <f t="shared" si="5"/>
        <v>0</v>
      </c>
      <c r="AB17" s="309">
        <f t="shared" si="6"/>
        <v>0</v>
      </c>
      <c r="AC17" s="309"/>
      <c r="AD17" s="309">
        <v>0</v>
      </c>
      <c r="AE17" s="309">
        <v>0</v>
      </c>
      <c r="AF17" s="309">
        <v>0</v>
      </c>
      <c r="AG17" s="309">
        <v>0</v>
      </c>
      <c r="AH17" s="309">
        <v>0</v>
      </c>
      <c r="AI17" s="309"/>
      <c r="AJ17" s="309">
        <f t="shared" si="7"/>
        <v>0</v>
      </c>
      <c r="AK17" s="309">
        <f t="shared" si="8"/>
        <v>0</v>
      </c>
      <c r="AL17" s="309"/>
      <c r="AM17" s="309">
        <v>0</v>
      </c>
      <c r="AN17" s="309">
        <v>0</v>
      </c>
      <c r="AO17" s="309">
        <v>0</v>
      </c>
      <c r="AP17" s="309">
        <v>0</v>
      </c>
      <c r="AQ17" s="309">
        <v>0</v>
      </c>
      <c r="AR17" s="309"/>
      <c r="AS17" s="309">
        <f t="shared" si="9"/>
        <v>0</v>
      </c>
      <c r="AT17" s="309">
        <f t="shared" si="10"/>
        <v>0</v>
      </c>
      <c r="AU17" s="309"/>
      <c r="AV17" s="309">
        <v>0</v>
      </c>
      <c r="AW17" s="309">
        <v>0</v>
      </c>
      <c r="AX17" s="309">
        <v>0</v>
      </c>
      <c r="AY17" s="309">
        <v>0</v>
      </c>
      <c r="AZ17" s="309">
        <v>0</v>
      </c>
      <c r="BA17" s="309"/>
      <c r="BB17" s="309">
        <f t="shared" si="11"/>
        <v>0</v>
      </c>
      <c r="BC17" s="309">
        <f t="shared" si="12"/>
        <v>0</v>
      </c>
      <c r="BD17" s="309"/>
      <c r="BE17" s="309">
        <v>0</v>
      </c>
      <c r="BF17" s="309">
        <v>0</v>
      </c>
      <c r="BG17" s="309">
        <v>0</v>
      </c>
      <c r="BH17" s="309">
        <v>0</v>
      </c>
      <c r="BI17" s="309">
        <v>0</v>
      </c>
      <c r="BJ17" s="309"/>
      <c r="BK17" s="309">
        <f t="shared" si="13"/>
        <v>0</v>
      </c>
      <c r="BL17" s="309">
        <f t="shared" si="14"/>
        <v>0</v>
      </c>
      <c r="BM17" s="309"/>
      <c r="BN17" s="309">
        <v>0</v>
      </c>
      <c r="BO17" s="309">
        <v>0</v>
      </c>
      <c r="BP17" s="309">
        <v>0</v>
      </c>
      <c r="BQ17" s="309">
        <v>0</v>
      </c>
      <c r="BR17" s="309">
        <v>0</v>
      </c>
      <c r="BS17" s="309"/>
      <c r="BT17" s="309">
        <f t="shared" si="15"/>
        <v>0</v>
      </c>
      <c r="BU17" s="309">
        <f t="shared" si="16"/>
        <v>0</v>
      </c>
      <c r="BV17" s="309"/>
      <c r="BW17" s="309">
        <v>0</v>
      </c>
      <c r="BX17" s="309">
        <v>0</v>
      </c>
      <c r="BY17" s="309">
        <v>0</v>
      </c>
      <c r="BZ17" s="309">
        <v>0</v>
      </c>
      <c r="CA17" s="309">
        <v>0</v>
      </c>
      <c r="CB17" s="309"/>
      <c r="CC17" s="309">
        <f t="shared" si="17"/>
        <v>0</v>
      </c>
      <c r="CD17" s="309">
        <f t="shared" si="18"/>
        <v>0</v>
      </c>
      <c r="CE17" s="309"/>
      <c r="CF17" s="309">
        <v>0</v>
      </c>
      <c r="CG17" s="309">
        <v>0</v>
      </c>
      <c r="CH17" s="309">
        <v>0</v>
      </c>
      <c r="CI17" s="309">
        <v>0</v>
      </c>
      <c r="CJ17" s="309">
        <v>0</v>
      </c>
      <c r="CK17" s="309"/>
      <c r="CL17" s="309">
        <f t="shared" si="19"/>
        <v>0</v>
      </c>
      <c r="CM17" s="309">
        <f t="shared" si="20"/>
        <v>0</v>
      </c>
      <c r="CN17" s="309"/>
      <c r="CO17" s="309">
        <v>0</v>
      </c>
      <c r="CP17" s="309">
        <v>0</v>
      </c>
      <c r="CQ17" s="309">
        <v>0</v>
      </c>
      <c r="CR17" s="309">
        <v>0</v>
      </c>
      <c r="CS17" s="309">
        <v>0</v>
      </c>
      <c r="CT17" s="309"/>
      <c r="CU17" s="309">
        <f t="shared" si="21"/>
        <v>0</v>
      </c>
      <c r="CV17" s="309">
        <f t="shared" si="22"/>
        <v>0</v>
      </c>
      <c r="CW17" s="309"/>
      <c r="CX17" s="309">
        <v>0</v>
      </c>
      <c r="CY17" s="309">
        <v>0</v>
      </c>
      <c r="CZ17" s="309">
        <v>0</v>
      </c>
      <c r="DA17" s="309">
        <v>0</v>
      </c>
      <c r="DB17" s="309">
        <v>0</v>
      </c>
      <c r="DC17" s="309"/>
      <c r="DD17" s="309">
        <f t="shared" si="23"/>
        <v>0</v>
      </c>
      <c r="DE17" s="309">
        <f t="shared" si="24"/>
        <v>0</v>
      </c>
      <c r="DF17" s="309"/>
      <c r="DG17" s="309">
        <f t="shared" si="25"/>
        <v>0</v>
      </c>
      <c r="DH17" s="309">
        <f t="shared" si="0"/>
        <v>0</v>
      </c>
      <c r="DI17" s="309">
        <f t="shared" si="0"/>
        <v>0</v>
      </c>
      <c r="DJ17" s="309">
        <f t="shared" si="0"/>
        <v>0</v>
      </c>
      <c r="DK17" s="309">
        <f t="shared" si="0"/>
        <v>0</v>
      </c>
      <c r="DL17" s="309"/>
      <c r="DM17" s="309">
        <f t="shared" si="26"/>
        <v>0</v>
      </c>
      <c r="DN17" s="309">
        <f t="shared" si="27"/>
        <v>0</v>
      </c>
      <c r="DO17" s="509"/>
    </row>
    <row r="18" spans="1:119" s="313" customFormat="1" ht="20.25" customHeight="1" x14ac:dyDescent="0.2">
      <c r="A18" s="307">
        <v>9</v>
      </c>
      <c r="B18" s="308" t="s">
        <v>19</v>
      </c>
      <c r="C18" s="309">
        <v>83973</v>
      </c>
      <c r="D18" s="309">
        <v>4198.6500000000005</v>
      </c>
      <c r="E18" s="309">
        <v>4198.6500000000005</v>
      </c>
      <c r="F18" s="309">
        <v>0</v>
      </c>
      <c r="G18" s="309">
        <v>0</v>
      </c>
      <c r="H18" s="312"/>
      <c r="I18" s="309">
        <f t="shared" si="1"/>
        <v>8397.3000000000011</v>
      </c>
      <c r="J18" s="309">
        <f t="shared" si="2"/>
        <v>75575.7</v>
      </c>
      <c r="K18" s="309"/>
      <c r="L18" s="309">
        <v>0</v>
      </c>
      <c r="M18" s="309">
        <v>0</v>
      </c>
      <c r="N18" s="309">
        <v>0</v>
      </c>
      <c r="O18" s="309">
        <v>0</v>
      </c>
      <c r="P18" s="309">
        <v>0</v>
      </c>
      <c r="Q18" s="312"/>
      <c r="R18" s="309">
        <f t="shared" si="3"/>
        <v>0</v>
      </c>
      <c r="S18" s="309">
        <f t="shared" si="4"/>
        <v>0</v>
      </c>
      <c r="T18" s="309"/>
      <c r="U18" s="309">
        <v>0</v>
      </c>
      <c r="V18" s="309">
        <v>0</v>
      </c>
      <c r="W18" s="309">
        <v>0</v>
      </c>
      <c r="X18" s="309">
        <v>0</v>
      </c>
      <c r="Y18" s="309">
        <v>0</v>
      </c>
      <c r="Z18" s="309"/>
      <c r="AA18" s="309">
        <f t="shared" si="5"/>
        <v>0</v>
      </c>
      <c r="AB18" s="309">
        <f t="shared" si="6"/>
        <v>0</v>
      </c>
      <c r="AC18" s="309"/>
      <c r="AD18" s="309">
        <v>0</v>
      </c>
      <c r="AE18" s="309">
        <v>0</v>
      </c>
      <c r="AF18" s="309">
        <v>0</v>
      </c>
      <c r="AG18" s="309">
        <v>0</v>
      </c>
      <c r="AH18" s="309">
        <v>0</v>
      </c>
      <c r="AI18" s="309"/>
      <c r="AJ18" s="309">
        <f t="shared" si="7"/>
        <v>0</v>
      </c>
      <c r="AK18" s="309">
        <f t="shared" si="8"/>
        <v>0</v>
      </c>
      <c r="AL18" s="309"/>
      <c r="AM18" s="309">
        <v>200000</v>
      </c>
      <c r="AN18" s="309">
        <v>10000</v>
      </c>
      <c r="AO18" s="309">
        <v>10000</v>
      </c>
      <c r="AP18" s="309">
        <v>0</v>
      </c>
      <c r="AQ18" s="309">
        <v>0</v>
      </c>
      <c r="AR18" s="309"/>
      <c r="AS18" s="309">
        <f t="shared" si="9"/>
        <v>20000</v>
      </c>
      <c r="AT18" s="309">
        <f t="shared" si="10"/>
        <v>180000</v>
      </c>
      <c r="AU18" s="309"/>
      <c r="AV18" s="309">
        <v>142500</v>
      </c>
      <c r="AW18" s="309">
        <v>7125</v>
      </c>
      <c r="AX18" s="309">
        <v>7125</v>
      </c>
      <c r="AY18" s="309">
        <v>7125</v>
      </c>
      <c r="AZ18" s="309">
        <v>7125</v>
      </c>
      <c r="BA18" s="309"/>
      <c r="BB18" s="309">
        <f t="shared" si="11"/>
        <v>28500</v>
      </c>
      <c r="BC18" s="309">
        <f t="shared" si="12"/>
        <v>114000</v>
      </c>
      <c r="BD18" s="309"/>
      <c r="BE18" s="309">
        <v>0</v>
      </c>
      <c r="BF18" s="309">
        <v>0</v>
      </c>
      <c r="BG18" s="309">
        <v>0</v>
      </c>
      <c r="BH18" s="309">
        <v>0</v>
      </c>
      <c r="BI18" s="309">
        <v>0</v>
      </c>
      <c r="BJ18" s="309"/>
      <c r="BK18" s="309">
        <f t="shared" si="13"/>
        <v>0</v>
      </c>
      <c r="BL18" s="309">
        <f t="shared" si="14"/>
        <v>0</v>
      </c>
      <c r="BM18" s="309"/>
      <c r="BN18" s="309">
        <v>0</v>
      </c>
      <c r="BO18" s="309">
        <v>0</v>
      </c>
      <c r="BP18" s="309">
        <v>0</v>
      </c>
      <c r="BQ18" s="309">
        <v>0</v>
      </c>
      <c r="BR18" s="309">
        <v>0</v>
      </c>
      <c r="BS18" s="309"/>
      <c r="BT18" s="309">
        <f t="shared" si="15"/>
        <v>0</v>
      </c>
      <c r="BU18" s="309">
        <f t="shared" si="16"/>
        <v>0</v>
      </c>
      <c r="BV18" s="309"/>
      <c r="BW18" s="309">
        <v>0</v>
      </c>
      <c r="BX18" s="309">
        <v>0</v>
      </c>
      <c r="BY18" s="309">
        <v>0</v>
      </c>
      <c r="BZ18" s="309">
        <v>0</v>
      </c>
      <c r="CA18" s="309">
        <v>0</v>
      </c>
      <c r="CB18" s="309"/>
      <c r="CC18" s="309">
        <f t="shared" si="17"/>
        <v>0</v>
      </c>
      <c r="CD18" s="309">
        <f t="shared" si="18"/>
        <v>0</v>
      </c>
      <c r="CE18" s="309"/>
      <c r="CF18" s="309">
        <v>0</v>
      </c>
      <c r="CG18" s="309">
        <v>0</v>
      </c>
      <c r="CH18" s="309">
        <v>0</v>
      </c>
      <c r="CI18" s="309">
        <v>0</v>
      </c>
      <c r="CJ18" s="309">
        <v>0</v>
      </c>
      <c r="CK18" s="309"/>
      <c r="CL18" s="309">
        <f t="shared" si="19"/>
        <v>0</v>
      </c>
      <c r="CM18" s="309">
        <f t="shared" si="20"/>
        <v>0</v>
      </c>
      <c r="CN18" s="309"/>
      <c r="CO18" s="309">
        <v>0</v>
      </c>
      <c r="CP18" s="309">
        <v>0</v>
      </c>
      <c r="CQ18" s="309">
        <v>0</v>
      </c>
      <c r="CR18" s="309">
        <v>0</v>
      </c>
      <c r="CS18" s="309">
        <v>0</v>
      </c>
      <c r="CT18" s="309"/>
      <c r="CU18" s="309">
        <f t="shared" si="21"/>
        <v>0</v>
      </c>
      <c r="CV18" s="309">
        <f t="shared" si="22"/>
        <v>0</v>
      </c>
      <c r="CW18" s="309"/>
      <c r="CX18" s="309">
        <v>0</v>
      </c>
      <c r="CY18" s="309">
        <v>0</v>
      </c>
      <c r="CZ18" s="309">
        <v>0</v>
      </c>
      <c r="DA18" s="309">
        <v>0</v>
      </c>
      <c r="DB18" s="309">
        <v>0</v>
      </c>
      <c r="DC18" s="309"/>
      <c r="DD18" s="309">
        <f t="shared" si="23"/>
        <v>0</v>
      </c>
      <c r="DE18" s="309">
        <f t="shared" si="24"/>
        <v>0</v>
      </c>
      <c r="DF18" s="309"/>
      <c r="DG18" s="309">
        <f t="shared" si="25"/>
        <v>426473</v>
      </c>
      <c r="DH18" s="309">
        <f t="shared" si="0"/>
        <v>21323.65</v>
      </c>
      <c r="DI18" s="309">
        <f t="shared" si="0"/>
        <v>21323.65</v>
      </c>
      <c r="DJ18" s="309">
        <f t="shared" si="0"/>
        <v>7125</v>
      </c>
      <c r="DK18" s="309">
        <f t="shared" si="0"/>
        <v>7125</v>
      </c>
      <c r="DL18" s="309"/>
      <c r="DM18" s="309">
        <f t="shared" si="26"/>
        <v>56897.3</v>
      </c>
      <c r="DN18" s="309">
        <f t="shared" si="27"/>
        <v>369575.7</v>
      </c>
      <c r="DO18" s="509"/>
    </row>
    <row r="19" spans="1:119" s="313" customFormat="1" ht="20.25" customHeight="1" x14ac:dyDescent="0.2">
      <c r="A19" s="307">
        <v>10</v>
      </c>
      <c r="B19" s="308" t="s">
        <v>117</v>
      </c>
      <c r="C19" s="309">
        <v>0</v>
      </c>
      <c r="D19" s="309">
        <v>0</v>
      </c>
      <c r="E19" s="309">
        <v>0</v>
      </c>
      <c r="F19" s="309">
        <v>0</v>
      </c>
      <c r="G19" s="309">
        <v>0</v>
      </c>
      <c r="H19" s="312"/>
      <c r="I19" s="309">
        <f t="shared" si="1"/>
        <v>0</v>
      </c>
      <c r="J19" s="309">
        <f t="shared" si="2"/>
        <v>0</v>
      </c>
      <c r="K19" s="309"/>
      <c r="L19" s="309">
        <v>1004000</v>
      </c>
      <c r="M19" s="309">
        <v>50200</v>
      </c>
      <c r="N19" s="309">
        <v>50200</v>
      </c>
      <c r="O19" s="309">
        <v>0</v>
      </c>
      <c r="P19" s="309">
        <v>0</v>
      </c>
      <c r="Q19" s="312"/>
      <c r="R19" s="309">
        <f t="shared" si="3"/>
        <v>100400</v>
      </c>
      <c r="S19" s="309">
        <f t="shared" si="4"/>
        <v>903600</v>
      </c>
      <c r="T19" s="309"/>
      <c r="U19" s="309">
        <v>140000</v>
      </c>
      <c r="V19" s="309">
        <v>7000</v>
      </c>
      <c r="W19" s="309">
        <v>7000</v>
      </c>
      <c r="X19" s="309">
        <v>0</v>
      </c>
      <c r="Y19" s="309">
        <v>0</v>
      </c>
      <c r="Z19" s="309"/>
      <c r="AA19" s="309">
        <f t="shared" si="5"/>
        <v>14000</v>
      </c>
      <c r="AB19" s="309">
        <f t="shared" si="6"/>
        <v>126000</v>
      </c>
      <c r="AC19" s="309"/>
      <c r="AD19" s="309">
        <v>78000</v>
      </c>
      <c r="AE19" s="309">
        <v>3900</v>
      </c>
      <c r="AF19" s="309">
        <v>3900</v>
      </c>
      <c r="AG19" s="309">
        <v>0</v>
      </c>
      <c r="AH19" s="309">
        <v>0</v>
      </c>
      <c r="AI19" s="309"/>
      <c r="AJ19" s="309">
        <f t="shared" si="7"/>
        <v>7800</v>
      </c>
      <c r="AK19" s="309">
        <f t="shared" si="8"/>
        <v>70200</v>
      </c>
      <c r="AL19" s="309"/>
      <c r="AM19" s="309">
        <v>0</v>
      </c>
      <c r="AN19" s="309">
        <v>0</v>
      </c>
      <c r="AO19" s="309">
        <v>0</v>
      </c>
      <c r="AP19" s="309">
        <v>0</v>
      </c>
      <c r="AQ19" s="309">
        <v>0</v>
      </c>
      <c r="AR19" s="309"/>
      <c r="AS19" s="309">
        <f t="shared" si="9"/>
        <v>0</v>
      </c>
      <c r="AT19" s="309">
        <f t="shared" si="10"/>
        <v>0</v>
      </c>
      <c r="AU19" s="309"/>
      <c r="AV19" s="309">
        <v>0</v>
      </c>
      <c r="AW19" s="309">
        <v>0</v>
      </c>
      <c r="AX19" s="309">
        <v>0</v>
      </c>
      <c r="AY19" s="309">
        <v>0</v>
      </c>
      <c r="AZ19" s="309">
        <v>0</v>
      </c>
      <c r="BA19" s="309"/>
      <c r="BB19" s="309">
        <f t="shared" si="11"/>
        <v>0</v>
      </c>
      <c r="BC19" s="309">
        <f t="shared" si="12"/>
        <v>0</v>
      </c>
      <c r="BD19" s="309"/>
      <c r="BE19" s="309">
        <v>0</v>
      </c>
      <c r="BF19" s="309">
        <v>0</v>
      </c>
      <c r="BG19" s="309">
        <v>0</v>
      </c>
      <c r="BH19" s="309">
        <v>0</v>
      </c>
      <c r="BI19" s="309">
        <v>0</v>
      </c>
      <c r="BJ19" s="309"/>
      <c r="BK19" s="309">
        <f t="shared" si="13"/>
        <v>0</v>
      </c>
      <c r="BL19" s="309">
        <f t="shared" si="14"/>
        <v>0</v>
      </c>
      <c r="BM19" s="309"/>
      <c r="BN19" s="309">
        <v>0</v>
      </c>
      <c r="BO19" s="309">
        <v>0</v>
      </c>
      <c r="BP19" s="309">
        <v>0</v>
      </c>
      <c r="BQ19" s="309">
        <v>0</v>
      </c>
      <c r="BR19" s="309">
        <v>0</v>
      </c>
      <c r="BS19" s="309"/>
      <c r="BT19" s="309">
        <f t="shared" si="15"/>
        <v>0</v>
      </c>
      <c r="BU19" s="309">
        <f t="shared" si="16"/>
        <v>0</v>
      </c>
      <c r="BV19" s="309"/>
      <c r="BW19" s="309">
        <v>0</v>
      </c>
      <c r="BX19" s="309">
        <v>0</v>
      </c>
      <c r="BY19" s="309">
        <v>0</v>
      </c>
      <c r="BZ19" s="309">
        <v>0</v>
      </c>
      <c r="CA19" s="309">
        <v>0</v>
      </c>
      <c r="CB19" s="309"/>
      <c r="CC19" s="309">
        <f t="shared" si="17"/>
        <v>0</v>
      </c>
      <c r="CD19" s="309">
        <f t="shared" si="18"/>
        <v>0</v>
      </c>
      <c r="CE19" s="309"/>
      <c r="CF19" s="309">
        <v>0</v>
      </c>
      <c r="CG19" s="309">
        <v>0</v>
      </c>
      <c r="CH19" s="309">
        <v>0</v>
      </c>
      <c r="CI19" s="309">
        <v>0</v>
      </c>
      <c r="CJ19" s="309">
        <v>0</v>
      </c>
      <c r="CK19" s="309"/>
      <c r="CL19" s="309">
        <f t="shared" si="19"/>
        <v>0</v>
      </c>
      <c r="CM19" s="309">
        <f t="shared" si="20"/>
        <v>0</v>
      </c>
      <c r="CN19" s="309"/>
      <c r="CO19" s="309">
        <v>0</v>
      </c>
      <c r="CP19" s="309">
        <v>0</v>
      </c>
      <c r="CQ19" s="309">
        <v>0</v>
      </c>
      <c r="CR19" s="309">
        <v>0</v>
      </c>
      <c r="CS19" s="309">
        <v>0</v>
      </c>
      <c r="CT19" s="309"/>
      <c r="CU19" s="309">
        <f t="shared" si="21"/>
        <v>0</v>
      </c>
      <c r="CV19" s="309">
        <f t="shared" si="22"/>
        <v>0</v>
      </c>
      <c r="CW19" s="309"/>
      <c r="CX19" s="309">
        <v>0</v>
      </c>
      <c r="CY19" s="309">
        <v>0</v>
      </c>
      <c r="CZ19" s="309">
        <v>0</v>
      </c>
      <c r="DA19" s="309">
        <v>0</v>
      </c>
      <c r="DB19" s="309">
        <v>0</v>
      </c>
      <c r="DC19" s="309"/>
      <c r="DD19" s="309">
        <f t="shared" si="23"/>
        <v>0</v>
      </c>
      <c r="DE19" s="309">
        <f t="shared" si="24"/>
        <v>0</v>
      </c>
      <c r="DF19" s="309"/>
      <c r="DG19" s="309">
        <f t="shared" si="25"/>
        <v>1222000</v>
      </c>
      <c r="DH19" s="309">
        <f t="shared" si="0"/>
        <v>61100</v>
      </c>
      <c r="DI19" s="309">
        <f t="shared" si="0"/>
        <v>61100</v>
      </c>
      <c r="DJ19" s="309">
        <f t="shared" si="0"/>
        <v>0</v>
      </c>
      <c r="DK19" s="309">
        <f t="shared" si="0"/>
        <v>0</v>
      </c>
      <c r="DL19" s="309"/>
      <c r="DM19" s="309">
        <f t="shared" si="26"/>
        <v>122200</v>
      </c>
      <c r="DN19" s="309">
        <f t="shared" si="27"/>
        <v>1099800</v>
      </c>
      <c r="DO19" s="509"/>
    </row>
    <row r="20" spans="1:119" s="313" customFormat="1" ht="20.25" hidden="1" customHeight="1" x14ac:dyDescent="0.2">
      <c r="A20" s="307">
        <v>11</v>
      </c>
      <c r="B20" s="308" t="s">
        <v>3470</v>
      </c>
      <c r="C20" s="309">
        <v>0</v>
      </c>
      <c r="D20" s="309">
        <v>0</v>
      </c>
      <c r="E20" s="309">
        <v>0</v>
      </c>
      <c r="F20" s="309">
        <v>0</v>
      </c>
      <c r="G20" s="309">
        <v>0</v>
      </c>
      <c r="H20" s="312"/>
      <c r="I20" s="309">
        <f t="shared" si="1"/>
        <v>0</v>
      </c>
      <c r="J20" s="309">
        <f t="shared" si="2"/>
        <v>0</v>
      </c>
      <c r="K20" s="309"/>
      <c r="L20" s="309">
        <v>0</v>
      </c>
      <c r="M20" s="309">
        <v>0</v>
      </c>
      <c r="N20" s="309">
        <v>0</v>
      </c>
      <c r="O20" s="309">
        <v>0</v>
      </c>
      <c r="P20" s="309">
        <v>0</v>
      </c>
      <c r="Q20" s="312"/>
      <c r="R20" s="309">
        <f t="shared" si="3"/>
        <v>0</v>
      </c>
      <c r="S20" s="309">
        <f t="shared" si="4"/>
        <v>0</v>
      </c>
      <c r="T20" s="309"/>
      <c r="U20" s="309">
        <v>0</v>
      </c>
      <c r="V20" s="309">
        <v>0</v>
      </c>
      <c r="W20" s="309">
        <v>0</v>
      </c>
      <c r="X20" s="309">
        <v>0</v>
      </c>
      <c r="Y20" s="309">
        <v>0</v>
      </c>
      <c r="Z20" s="309"/>
      <c r="AA20" s="309">
        <f t="shared" si="5"/>
        <v>0</v>
      </c>
      <c r="AB20" s="309">
        <f t="shared" si="6"/>
        <v>0</v>
      </c>
      <c r="AC20" s="309"/>
      <c r="AD20" s="309">
        <v>0</v>
      </c>
      <c r="AE20" s="309">
        <v>0</v>
      </c>
      <c r="AF20" s="309">
        <v>0</v>
      </c>
      <c r="AG20" s="309">
        <v>0</v>
      </c>
      <c r="AH20" s="309">
        <v>0</v>
      </c>
      <c r="AI20" s="309"/>
      <c r="AJ20" s="309">
        <f t="shared" si="7"/>
        <v>0</v>
      </c>
      <c r="AK20" s="309">
        <f t="shared" si="8"/>
        <v>0</v>
      </c>
      <c r="AL20" s="309"/>
      <c r="AM20" s="309">
        <v>492450</v>
      </c>
      <c r="AN20" s="309">
        <v>0</v>
      </c>
      <c r="AO20" s="309">
        <v>0</v>
      </c>
      <c r="AP20" s="309">
        <v>0</v>
      </c>
      <c r="AQ20" s="309">
        <v>0</v>
      </c>
      <c r="AR20" s="309"/>
      <c r="AS20" s="309">
        <f t="shared" si="9"/>
        <v>0</v>
      </c>
      <c r="AT20" s="309">
        <f t="shared" si="10"/>
        <v>492450</v>
      </c>
      <c r="AU20" s="309"/>
      <c r="AV20" s="309">
        <v>0</v>
      </c>
      <c r="AW20" s="309">
        <v>0</v>
      </c>
      <c r="AX20" s="309">
        <v>0</v>
      </c>
      <c r="AY20" s="309">
        <v>0</v>
      </c>
      <c r="AZ20" s="309">
        <v>0</v>
      </c>
      <c r="BA20" s="309"/>
      <c r="BB20" s="309">
        <f t="shared" si="11"/>
        <v>0</v>
      </c>
      <c r="BC20" s="309">
        <f t="shared" si="12"/>
        <v>0</v>
      </c>
      <c r="BD20" s="309"/>
      <c r="BE20" s="309">
        <v>0</v>
      </c>
      <c r="BF20" s="309">
        <v>0</v>
      </c>
      <c r="BG20" s="309">
        <v>0</v>
      </c>
      <c r="BH20" s="309">
        <v>0</v>
      </c>
      <c r="BI20" s="309">
        <v>0</v>
      </c>
      <c r="BJ20" s="309"/>
      <c r="BK20" s="309">
        <f t="shared" si="13"/>
        <v>0</v>
      </c>
      <c r="BL20" s="309">
        <f t="shared" si="14"/>
        <v>0</v>
      </c>
      <c r="BM20" s="309"/>
      <c r="BN20" s="309">
        <v>0</v>
      </c>
      <c r="BO20" s="309">
        <v>0</v>
      </c>
      <c r="BP20" s="309">
        <v>0</v>
      </c>
      <c r="BQ20" s="309">
        <v>0</v>
      </c>
      <c r="BR20" s="309">
        <v>0</v>
      </c>
      <c r="BS20" s="309"/>
      <c r="BT20" s="309">
        <f t="shared" si="15"/>
        <v>0</v>
      </c>
      <c r="BU20" s="309">
        <f t="shared" si="16"/>
        <v>0</v>
      </c>
      <c r="BV20" s="309"/>
      <c r="BW20" s="309">
        <v>0</v>
      </c>
      <c r="BX20" s="309">
        <v>0</v>
      </c>
      <c r="BY20" s="309">
        <v>0</v>
      </c>
      <c r="BZ20" s="309">
        <v>0</v>
      </c>
      <c r="CA20" s="309">
        <v>0</v>
      </c>
      <c r="CB20" s="309"/>
      <c r="CC20" s="309">
        <f t="shared" si="17"/>
        <v>0</v>
      </c>
      <c r="CD20" s="309">
        <f t="shared" si="18"/>
        <v>0</v>
      </c>
      <c r="CE20" s="309"/>
      <c r="CF20" s="309">
        <v>0</v>
      </c>
      <c r="CG20" s="309">
        <v>0</v>
      </c>
      <c r="CH20" s="309">
        <v>0</v>
      </c>
      <c r="CI20" s="309">
        <v>0</v>
      </c>
      <c r="CJ20" s="309">
        <v>0</v>
      </c>
      <c r="CK20" s="309"/>
      <c r="CL20" s="309">
        <f t="shared" si="19"/>
        <v>0</v>
      </c>
      <c r="CM20" s="309">
        <f t="shared" si="20"/>
        <v>0</v>
      </c>
      <c r="CN20" s="309"/>
      <c r="CO20" s="309">
        <v>0</v>
      </c>
      <c r="CP20" s="309">
        <v>0</v>
      </c>
      <c r="CQ20" s="309">
        <v>0</v>
      </c>
      <c r="CR20" s="309">
        <v>0</v>
      </c>
      <c r="CS20" s="309">
        <v>0</v>
      </c>
      <c r="CT20" s="309"/>
      <c r="CU20" s="309">
        <f t="shared" si="21"/>
        <v>0</v>
      </c>
      <c r="CV20" s="309">
        <f t="shared" si="22"/>
        <v>0</v>
      </c>
      <c r="CW20" s="309"/>
      <c r="CX20" s="309">
        <v>0</v>
      </c>
      <c r="CY20" s="309">
        <v>0</v>
      </c>
      <c r="CZ20" s="309">
        <v>0</v>
      </c>
      <c r="DA20" s="309">
        <v>0</v>
      </c>
      <c r="DB20" s="309">
        <v>0</v>
      </c>
      <c r="DC20" s="309"/>
      <c r="DD20" s="309">
        <f t="shared" si="23"/>
        <v>0</v>
      </c>
      <c r="DE20" s="309">
        <f t="shared" si="24"/>
        <v>0</v>
      </c>
      <c r="DF20" s="309"/>
      <c r="DG20" s="309">
        <f t="shared" si="25"/>
        <v>492450</v>
      </c>
      <c r="DH20" s="309">
        <f t="shared" si="0"/>
        <v>0</v>
      </c>
      <c r="DI20" s="309">
        <f t="shared" si="0"/>
        <v>0</v>
      </c>
      <c r="DJ20" s="309">
        <f t="shared" si="0"/>
        <v>0</v>
      </c>
      <c r="DK20" s="309">
        <f t="shared" si="0"/>
        <v>0</v>
      </c>
      <c r="DL20" s="309"/>
      <c r="DM20" s="309">
        <f t="shared" si="26"/>
        <v>0</v>
      </c>
      <c r="DN20" s="309">
        <f t="shared" si="27"/>
        <v>492450</v>
      </c>
      <c r="DO20" s="509"/>
    </row>
    <row r="21" spans="1:119" s="313" customFormat="1" ht="20.25" customHeight="1" x14ac:dyDescent="0.2">
      <c r="A21" s="307">
        <v>12</v>
      </c>
      <c r="B21" s="308" t="s">
        <v>706</v>
      </c>
      <c r="C21" s="309">
        <v>0</v>
      </c>
      <c r="D21" s="309">
        <v>0</v>
      </c>
      <c r="E21" s="309">
        <v>0</v>
      </c>
      <c r="F21" s="309">
        <v>0</v>
      </c>
      <c r="G21" s="309">
        <v>0</v>
      </c>
      <c r="H21" s="312"/>
      <c r="I21" s="309">
        <f t="shared" si="1"/>
        <v>0</v>
      </c>
      <c r="J21" s="309">
        <f t="shared" si="2"/>
        <v>0</v>
      </c>
      <c r="K21" s="309"/>
      <c r="L21" s="309">
        <v>0</v>
      </c>
      <c r="M21" s="309">
        <v>0</v>
      </c>
      <c r="N21" s="309">
        <v>0</v>
      </c>
      <c r="O21" s="309">
        <v>0</v>
      </c>
      <c r="P21" s="309">
        <v>0</v>
      </c>
      <c r="Q21" s="312"/>
      <c r="R21" s="309">
        <f t="shared" si="3"/>
        <v>0</v>
      </c>
      <c r="S21" s="309">
        <f t="shared" si="4"/>
        <v>0</v>
      </c>
      <c r="T21" s="309"/>
      <c r="U21" s="309">
        <v>99500</v>
      </c>
      <c r="V21" s="309">
        <v>0</v>
      </c>
      <c r="W21" s="309">
        <v>0</v>
      </c>
      <c r="X21" s="309">
        <v>3475</v>
      </c>
      <c r="Y21" s="309">
        <v>3475</v>
      </c>
      <c r="Z21" s="309"/>
      <c r="AA21" s="309">
        <f t="shared" si="5"/>
        <v>6950</v>
      </c>
      <c r="AB21" s="309">
        <f t="shared" si="6"/>
        <v>92550</v>
      </c>
      <c r="AC21" s="309"/>
      <c r="AD21" s="309">
        <v>1175000</v>
      </c>
      <c r="AE21" s="309">
        <v>0</v>
      </c>
      <c r="AF21" s="309">
        <v>0</v>
      </c>
      <c r="AG21" s="309">
        <v>0</v>
      </c>
      <c r="AH21" s="309">
        <v>0</v>
      </c>
      <c r="AI21" s="309"/>
      <c r="AJ21" s="309">
        <f t="shared" si="7"/>
        <v>0</v>
      </c>
      <c r="AK21" s="309">
        <f t="shared" si="8"/>
        <v>1175000</v>
      </c>
      <c r="AL21" s="309"/>
      <c r="AM21" s="309">
        <v>647600</v>
      </c>
      <c r="AN21" s="309">
        <v>0</v>
      </c>
      <c r="AO21" s="309">
        <v>0</v>
      </c>
      <c r="AP21" s="309">
        <v>5025</v>
      </c>
      <c r="AQ21" s="309">
        <v>5025</v>
      </c>
      <c r="AR21" s="309"/>
      <c r="AS21" s="309">
        <f t="shared" si="9"/>
        <v>10050</v>
      </c>
      <c r="AT21" s="309">
        <f t="shared" si="10"/>
        <v>637550</v>
      </c>
      <c r="AU21" s="309"/>
      <c r="AV21" s="309">
        <v>96900</v>
      </c>
      <c r="AW21" s="309">
        <v>0</v>
      </c>
      <c r="AX21" s="309">
        <v>0</v>
      </c>
      <c r="AY21" s="309">
        <v>4365</v>
      </c>
      <c r="AZ21" s="309">
        <v>4365</v>
      </c>
      <c r="BA21" s="309"/>
      <c r="BB21" s="309">
        <f t="shared" si="11"/>
        <v>8730</v>
      </c>
      <c r="BC21" s="309">
        <f t="shared" si="12"/>
        <v>88170</v>
      </c>
      <c r="BD21" s="309"/>
      <c r="BE21" s="309">
        <v>0</v>
      </c>
      <c r="BF21" s="309">
        <v>0</v>
      </c>
      <c r="BG21" s="309">
        <v>0</v>
      </c>
      <c r="BH21" s="309">
        <v>0</v>
      </c>
      <c r="BI21" s="309">
        <v>0</v>
      </c>
      <c r="BJ21" s="309"/>
      <c r="BK21" s="309">
        <f t="shared" si="13"/>
        <v>0</v>
      </c>
      <c r="BL21" s="309">
        <f t="shared" si="14"/>
        <v>0</v>
      </c>
      <c r="BM21" s="309"/>
      <c r="BN21" s="309">
        <v>0</v>
      </c>
      <c r="BO21" s="309">
        <v>0</v>
      </c>
      <c r="BP21" s="309">
        <v>0</v>
      </c>
      <c r="BQ21" s="309">
        <v>0</v>
      </c>
      <c r="BR21" s="309">
        <v>0</v>
      </c>
      <c r="BS21" s="309"/>
      <c r="BT21" s="309">
        <f t="shared" si="15"/>
        <v>0</v>
      </c>
      <c r="BU21" s="309">
        <f t="shared" si="16"/>
        <v>0</v>
      </c>
      <c r="BV21" s="309"/>
      <c r="BW21" s="309">
        <v>0</v>
      </c>
      <c r="BX21" s="309">
        <v>0</v>
      </c>
      <c r="BY21" s="309">
        <v>0</v>
      </c>
      <c r="BZ21" s="309">
        <v>0</v>
      </c>
      <c r="CA21" s="309">
        <v>0</v>
      </c>
      <c r="CB21" s="309"/>
      <c r="CC21" s="309">
        <f t="shared" si="17"/>
        <v>0</v>
      </c>
      <c r="CD21" s="309">
        <f t="shared" si="18"/>
        <v>0</v>
      </c>
      <c r="CE21" s="309"/>
      <c r="CF21" s="309">
        <v>0</v>
      </c>
      <c r="CG21" s="309">
        <v>0</v>
      </c>
      <c r="CH21" s="309">
        <v>0</v>
      </c>
      <c r="CI21" s="309">
        <v>0</v>
      </c>
      <c r="CJ21" s="309">
        <v>0</v>
      </c>
      <c r="CK21" s="309"/>
      <c r="CL21" s="309">
        <f t="shared" si="19"/>
        <v>0</v>
      </c>
      <c r="CM21" s="309">
        <f t="shared" si="20"/>
        <v>0</v>
      </c>
      <c r="CN21" s="309"/>
      <c r="CO21" s="309">
        <v>0</v>
      </c>
      <c r="CP21" s="309">
        <v>0</v>
      </c>
      <c r="CQ21" s="309">
        <v>0</v>
      </c>
      <c r="CR21" s="309">
        <v>0</v>
      </c>
      <c r="CS21" s="309">
        <v>0</v>
      </c>
      <c r="CT21" s="309"/>
      <c r="CU21" s="309">
        <f t="shared" si="21"/>
        <v>0</v>
      </c>
      <c r="CV21" s="309">
        <f t="shared" si="22"/>
        <v>0</v>
      </c>
      <c r="CW21" s="309"/>
      <c r="CX21" s="309">
        <v>0</v>
      </c>
      <c r="CY21" s="309">
        <v>0</v>
      </c>
      <c r="CZ21" s="309">
        <v>0</v>
      </c>
      <c r="DA21" s="309">
        <v>0</v>
      </c>
      <c r="DB21" s="309">
        <v>0</v>
      </c>
      <c r="DC21" s="309"/>
      <c r="DD21" s="309">
        <f t="shared" si="23"/>
        <v>0</v>
      </c>
      <c r="DE21" s="309">
        <f t="shared" si="24"/>
        <v>0</v>
      </c>
      <c r="DF21" s="309"/>
      <c r="DG21" s="309">
        <f t="shared" si="25"/>
        <v>2019000</v>
      </c>
      <c r="DH21" s="309">
        <f t="shared" si="0"/>
        <v>0</v>
      </c>
      <c r="DI21" s="309">
        <f t="shared" si="0"/>
        <v>0</v>
      </c>
      <c r="DJ21" s="309">
        <f t="shared" si="0"/>
        <v>12865</v>
      </c>
      <c r="DK21" s="309">
        <f t="shared" si="0"/>
        <v>12865</v>
      </c>
      <c r="DL21" s="309"/>
      <c r="DM21" s="309">
        <f t="shared" si="26"/>
        <v>25730</v>
      </c>
      <c r="DN21" s="309">
        <f t="shared" si="27"/>
        <v>1993270</v>
      </c>
      <c r="DO21" s="509"/>
    </row>
    <row r="22" spans="1:119" s="313" customFormat="1" ht="20.25" customHeight="1" x14ac:dyDescent="0.2">
      <c r="A22" s="307">
        <v>13</v>
      </c>
      <c r="B22" s="308" t="s">
        <v>526</v>
      </c>
      <c r="C22" s="309">
        <v>0</v>
      </c>
      <c r="D22" s="309">
        <v>0</v>
      </c>
      <c r="E22" s="309">
        <v>0</v>
      </c>
      <c r="F22" s="309">
        <v>0</v>
      </c>
      <c r="G22" s="309">
        <v>0</v>
      </c>
      <c r="H22" s="312"/>
      <c r="I22" s="309">
        <f t="shared" si="1"/>
        <v>0</v>
      </c>
      <c r="J22" s="309">
        <f t="shared" si="2"/>
        <v>0</v>
      </c>
      <c r="K22" s="309"/>
      <c r="L22" s="309">
        <v>50000</v>
      </c>
      <c r="M22" s="309">
        <v>2500</v>
      </c>
      <c r="N22" s="309">
        <v>2500</v>
      </c>
      <c r="O22" s="309">
        <v>0</v>
      </c>
      <c r="P22" s="309">
        <v>0</v>
      </c>
      <c r="Q22" s="312"/>
      <c r="R22" s="309">
        <f t="shared" si="3"/>
        <v>5000</v>
      </c>
      <c r="S22" s="309">
        <f t="shared" si="4"/>
        <v>45000</v>
      </c>
      <c r="T22" s="309"/>
      <c r="U22" s="309">
        <v>0</v>
      </c>
      <c r="V22" s="309">
        <v>0</v>
      </c>
      <c r="W22" s="309">
        <v>0</v>
      </c>
      <c r="X22" s="309">
        <v>0</v>
      </c>
      <c r="Y22" s="309">
        <v>0</v>
      </c>
      <c r="Z22" s="309"/>
      <c r="AA22" s="309">
        <f t="shared" si="5"/>
        <v>0</v>
      </c>
      <c r="AB22" s="309">
        <f t="shared" si="6"/>
        <v>0</v>
      </c>
      <c r="AC22" s="309"/>
      <c r="AD22" s="309">
        <v>0</v>
      </c>
      <c r="AE22" s="309">
        <v>0</v>
      </c>
      <c r="AF22" s="309">
        <v>0</v>
      </c>
      <c r="AG22" s="309">
        <v>0</v>
      </c>
      <c r="AH22" s="309">
        <v>0</v>
      </c>
      <c r="AI22" s="309"/>
      <c r="AJ22" s="309">
        <f t="shared" si="7"/>
        <v>0</v>
      </c>
      <c r="AK22" s="309">
        <f t="shared" si="8"/>
        <v>0</v>
      </c>
      <c r="AL22" s="309"/>
      <c r="AM22" s="309">
        <v>104500</v>
      </c>
      <c r="AN22" s="309">
        <v>0</v>
      </c>
      <c r="AO22" s="309">
        <v>0</v>
      </c>
      <c r="AP22" s="309">
        <v>5225</v>
      </c>
      <c r="AQ22" s="309">
        <v>5225</v>
      </c>
      <c r="AR22" s="309"/>
      <c r="AS22" s="309">
        <f t="shared" si="9"/>
        <v>10450</v>
      </c>
      <c r="AT22" s="309">
        <f t="shared" si="10"/>
        <v>94050</v>
      </c>
      <c r="AU22" s="309"/>
      <c r="AV22" s="309">
        <v>0</v>
      </c>
      <c r="AW22" s="309">
        <v>0</v>
      </c>
      <c r="AX22" s="309">
        <v>0</v>
      </c>
      <c r="AY22" s="309">
        <v>0</v>
      </c>
      <c r="AZ22" s="309">
        <v>0</v>
      </c>
      <c r="BA22" s="309"/>
      <c r="BB22" s="309">
        <f t="shared" si="11"/>
        <v>0</v>
      </c>
      <c r="BC22" s="309">
        <f t="shared" si="12"/>
        <v>0</v>
      </c>
      <c r="BD22" s="309"/>
      <c r="BE22" s="309">
        <v>0</v>
      </c>
      <c r="BF22" s="309">
        <v>0</v>
      </c>
      <c r="BG22" s="309">
        <v>0</v>
      </c>
      <c r="BH22" s="309">
        <v>0</v>
      </c>
      <c r="BI22" s="309">
        <v>0</v>
      </c>
      <c r="BJ22" s="309"/>
      <c r="BK22" s="309">
        <f t="shared" si="13"/>
        <v>0</v>
      </c>
      <c r="BL22" s="309">
        <f t="shared" si="14"/>
        <v>0</v>
      </c>
      <c r="BM22" s="309"/>
      <c r="BN22" s="309">
        <v>0</v>
      </c>
      <c r="BO22" s="309">
        <v>0</v>
      </c>
      <c r="BP22" s="309">
        <v>0</v>
      </c>
      <c r="BQ22" s="309">
        <v>0</v>
      </c>
      <c r="BR22" s="309">
        <v>0</v>
      </c>
      <c r="BS22" s="309"/>
      <c r="BT22" s="309">
        <f t="shared" si="15"/>
        <v>0</v>
      </c>
      <c r="BU22" s="309">
        <f t="shared" si="16"/>
        <v>0</v>
      </c>
      <c r="BV22" s="309"/>
      <c r="BW22" s="309">
        <v>0</v>
      </c>
      <c r="BX22" s="309">
        <v>0</v>
      </c>
      <c r="BY22" s="309">
        <v>0</v>
      </c>
      <c r="BZ22" s="309">
        <v>0</v>
      </c>
      <c r="CA22" s="309">
        <v>0</v>
      </c>
      <c r="CB22" s="309"/>
      <c r="CC22" s="309">
        <f t="shared" si="17"/>
        <v>0</v>
      </c>
      <c r="CD22" s="309">
        <f t="shared" si="18"/>
        <v>0</v>
      </c>
      <c r="CE22" s="309"/>
      <c r="CF22" s="309">
        <v>0</v>
      </c>
      <c r="CG22" s="309">
        <v>0</v>
      </c>
      <c r="CH22" s="309">
        <v>0</v>
      </c>
      <c r="CI22" s="309">
        <v>0</v>
      </c>
      <c r="CJ22" s="309">
        <v>0</v>
      </c>
      <c r="CK22" s="309"/>
      <c r="CL22" s="309">
        <f t="shared" si="19"/>
        <v>0</v>
      </c>
      <c r="CM22" s="309">
        <f t="shared" si="20"/>
        <v>0</v>
      </c>
      <c r="CN22" s="309"/>
      <c r="CO22" s="309">
        <v>0</v>
      </c>
      <c r="CP22" s="309">
        <v>0</v>
      </c>
      <c r="CQ22" s="309">
        <v>0</v>
      </c>
      <c r="CR22" s="309">
        <v>0</v>
      </c>
      <c r="CS22" s="309">
        <v>0</v>
      </c>
      <c r="CT22" s="309"/>
      <c r="CU22" s="309">
        <f t="shared" si="21"/>
        <v>0</v>
      </c>
      <c r="CV22" s="309">
        <f t="shared" si="22"/>
        <v>0</v>
      </c>
      <c r="CW22" s="309"/>
      <c r="CX22" s="309">
        <v>0</v>
      </c>
      <c r="CY22" s="309">
        <v>0</v>
      </c>
      <c r="CZ22" s="309">
        <v>0</v>
      </c>
      <c r="DA22" s="309">
        <v>0</v>
      </c>
      <c r="DB22" s="309">
        <v>0</v>
      </c>
      <c r="DC22" s="309"/>
      <c r="DD22" s="309">
        <f t="shared" si="23"/>
        <v>0</v>
      </c>
      <c r="DE22" s="309">
        <f t="shared" si="24"/>
        <v>0</v>
      </c>
      <c r="DF22" s="309"/>
      <c r="DG22" s="309">
        <f t="shared" si="25"/>
        <v>154500</v>
      </c>
      <c r="DH22" s="309">
        <f t="shared" si="0"/>
        <v>2500</v>
      </c>
      <c r="DI22" s="309">
        <f t="shared" si="0"/>
        <v>2500</v>
      </c>
      <c r="DJ22" s="309">
        <f t="shared" si="0"/>
        <v>5225</v>
      </c>
      <c r="DK22" s="309">
        <f t="shared" si="0"/>
        <v>5225</v>
      </c>
      <c r="DL22" s="309"/>
      <c r="DM22" s="309">
        <f t="shared" si="26"/>
        <v>15450</v>
      </c>
      <c r="DN22" s="309">
        <f t="shared" si="27"/>
        <v>139050</v>
      </c>
      <c r="DO22" s="509"/>
    </row>
    <row r="23" spans="1:119" s="317" customFormat="1" ht="20.25" hidden="1" customHeight="1" x14ac:dyDescent="0.2">
      <c r="A23" s="307">
        <v>14</v>
      </c>
      <c r="B23" s="308" t="s">
        <v>2554</v>
      </c>
      <c r="C23" s="309">
        <v>0</v>
      </c>
      <c r="D23" s="309">
        <v>0</v>
      </c>
      <c r="E23" s="309">
        <v>0</v>
      </c>
      <c r="F23" s="309">
        <v>0</v>
      </c>
      <c r="G23" s="309">
        <v>0</v>
      </c>
      <c r="H23" s="312"/>
      <c r="I23" s="309">
        <f t="shared" si="1"/>
        <v>0</v>
      </c>
      <c r="J23" s="309">
        <f t="shared" si="2"/>
        <v>0</v>
      </c>
      <c r="K23" s="309"/>
      <c r="L23" s="309">
        <v>0</v>
      </c>
      <c r="M23" s="309">
        <v>0</v>
      </c>
      <c r="N23" s="309">
        <v>0</v>
      </c>
      <c r="O23" s="309">
        <v>0</v>
      </c>
      <c r="P23" s="309">
        <v>0</v>
      </c>
      <c r="Q23" s="312"/>
      <c r="R23" s="309">
        <f t="shared" si="3"/>
        <v>0</v>
      </c>
      <c r="S23" s="309">
        <f t="shared" si="4"/>
        <v>0</v>
      </c>
      <c r="T23" s="309"/>
      <c r="U23" s="309">
        <v>0</v>
      </c>
      <c r="V23" s="309">
        <v>0</v>
      </c>
      <c r="W23" s="309">
        <v>0</v>
      </c>
      <c r="X23" s="309">
        <v>0</v>
      </c>
      <c r="Y23" s="309">
        <v>0</v>
      </c>
      <c r="Z23" s="309"/>
      <c r="AA23" s="309">
        <f t="shared" si="5"/>
        <v>0</v>
      </c>
      <c r="AB23" s="309">
        <f t="shared" si="6"/>
        <v>0</v>
      </c>
      <c r="AC23" s="309"/>
      <c r="AD23" s="309">
        <v>0</v>
      </c>
      <c r="AE23" s="309">
        <v>0</v>
      </c>
      <c r="AF23" s="309">
        <v>0</v>
      </c>
      <c r="AG23" s="309">
        <v>0</v>
      </c>
      <c r="AH23" s="309">
        <v>0</v>
      </c>
      <c r="AI23" s="309"/>
      <c r="AJ23" s="309">
        <f t="shared" si="7"/>
        <v>0</v>
      </c>
      <c r="AK23" s="309">
        <f t="shared" si="8"/>
        <v>0</v>
      </c>
      <c r="AL23" s="309"/>
      <c r="AM23" s="309">
        <v>1221282</v>
      </c>
      <c r="AN23" s="309">
        <v>0</v>
      </c>
      <c r="AO23" s="309">
        <v>0</v>
      </c>
      <c r="AP23" s="309">
        <v>0</v>
      </c>
      <c r="AQ23" s="309">
        <v>0</v>
      </c>
      <c r="AR23" s="309"/>
      <c r="AS23" s="309">
        <f t="shared" si="9"/>
        <v>0</v>
      </c>
      <c r="AT23" s="309">
        <f t="shared" si="10"/>
        <v>1221282</v>
      </c>
      <c r="AU23" s="309"/>
      <c r="AV23" s="309">
        <v>0</v>
      </c>
      <c r="AW23" s="309">
        <v>0</v>
      </c>
      <c r="AX23" s="309">
        <v>0</v>
      </c>
      <c r="AY23" s="309">
        <v>0</v>
      </c>
      <c r="AZ23" s="309">
        <v>0</v>
      </c>
      <c r="BA23" s="309"/>
      <c r="BB23" s="309">
        <f t="shared" si="11"/>
        <v>0</v>
      </c>
      <c r="BC23" s="309">
        <f t="shared" si="12"/>
        <v>0</v>
      </c>
      <c r="BD23" s="309"/>
      <c r="BE23" s="309">
        <v>0</v>
      </c>
      <c r="BF23" s="309">
        <v>0</v>
      </c>
      <c r="BG23" s="309">
        <v>0</v>
      </c>
      <c r="BH23" s="309">
        <v>0</v>
      </c>
      <c r="BI23" s="309">
        <v>0</v>
      </c>
      <c r="BJ23" s="309"/>
      <c r="BK23" s="309">
        <f t="shared" si="13"/>
        <v>0</v>
      </c>
      <c r="BL23" s="309">
        <f t="shared" si="14"/>
        <v>0</v>
      </c>
      <c r="BM23" s="309"/>
      <c r="BN23" s="309">
        <v>0</v>
      </c>
      <c r="BO23" s="309">
        <v>0</v>
      </c>
      <c r="BP23" s="309">
        <v>0</v>
      </c>
      <c r="BQ23" s="309">
        <v>0</v>
      </c>
      <c r="BR23" s="309">
        <v>0</v>
      </c>
      <c r="BS23" s="309"/>
      <c r="BT23" s="309">
        <f t="shared" si="15"/>
        <v>0</v>
      </c>
      <c r="BU23" s="309">
        <f t="shared" si="16"/>
        <v>0</v>
      </c>
      <c r="BV23" s="309"/>
      <c r="BW23" s="309">
        <v>0</v>
      </c>
      <c r="BX23" s="309">
        <v>0</v>
      </c>
      <c r="BY23" s="309">
        <v>0</v>
      </c>
      <c r="BZ23" s="309">
        <v>0</v>
      </c>
      <c r="CA23" s="309">
        <v>0</v>
      </c>
      <c r="CB23" s="309"/>
      <c r="CC23" s="309">
        <f t="shared" si="17"/>
        <v>0</v>
      </c>
      <c r="CD23" s="309">
        <f t="shared" si="18"/>
        <v>0</v>
      </c>
      <c r="CE23" s="309"/>
      <c r="CF23" s="309">
        <v>0</v>
      </c>
      <c r="CG23" s="309">
        <v>0</v>
      </c>
      <c r="CH23" s="309">
        <v>0</v>
      </c>
      <c r="CI23" s="309">
        <v>0</v>
      </c>
      <c r="CJ23" s="309">
        <v>0</v>
      </c>
      <c r="CK23" s="309"/>
      <c r="CL23" s="309">
        <f t="shared" si="19"/>
        <v>0</v>
      </c>
      <c r="CM23" s="309">
        <f t="shared" si="20"/>
        <v>0</v>
      </c>
      <c r="CN23" s="309"/>
      <c r="CO23" s="309">
        <v>0</v>
      </c>
      <c r="CP23" s="309">
        <v>0</v>
      </c>
      <c r="CQ23" s="309">
        <v>0</v>
      </c>
      <c r="CR23" s="309">
        <v>0</v>
      </c>
      <c r="CS23" s="309">
        <v>0</v>
      </c>
      <c r="CT23" s="309"/>
      <c r="CU23" s="309">
        <f t="shared" si="21"/>
        <v>0</v>
      </c>
      <c r="CV23" s="309">
        <f t="shared" si="22"/>
        <v>0</v>
      </c>
      <c r="CW23" s="309"/>
      <c r="CX23" s="309">
        <v>0</v>
      </c>
      <c r="CY23" s="309">
        <v>0</v>
      </c>
      <c r="CZ23" s="309">
        <v>0</v>
      </c>
      <c r="DA23" s="309">
        <v>0</v>
      </c>
      <c r="DB23" s="309">
        <v>0</v>
      </c>
      <c r="DC23" s="309"/>
      <c r="DD23" s="309">
        <f t="shared" si="23"/>
        <v>0</v>
      </c>
      <c r="DE23" s="309">
        <f t="shared" si="24"/>
        <v>0</v>
      </c>
      <c r="DF23" s="309"/>
      <c r="DG23" s="309">
        <f t="shared" si="25"/>
        <v>1221282</v>
      </c>
      <c r="DH23" s="309">
        <f t="shared" si="25"/>
        <v>0</v>
      </c>
      <c r="DI23" s="309">
        <f t="shared" si="25"/>
        <v>0</v>
      </c>
      <c r="DJ23" s="309">
        <f t="shared" si="25"/>
        <v>0</v>
      </c>
      <c r="DK23" s="309">
        <f t="shared" si="25"/>
        <v>0</v>
      </c>
      <c r="DL23" s="309"/>
      <c r="DM23" s="309">
        <f t="shared" si="26"/>
        <v>0</v>
      </c>
      <c r="DN23" s="309">
        <f t="shared" si="27"/>
        <v>1221282</v>
      </c>
      <c r="DO23" s="509"/>
    </row>
    <row r="24" spans="1:119" s="313" customFormat="1" ht="20.25" hidden="1" customHeight="1" x14ac:dyDescent="0.2">
      <c r="A24" s="307">
        <v>15</v>
      </c>
      <c r="B24" s="308" t="s">
        <v>2149</v>
      </c>
      <c r="C24" s="309">
        <v>0</v>
      </c>
      <c r="D24" s="309">
        <v>0</v>
      </c>
      <c r="E24" s="309">
        <v>0</v>
      </c>
      <c r="F24" s="309">
        <v>0</v>
      </c>
      <c r="G24" s="309">
        <v>0</v>
      </c>
      <c r="H24" s="312"/>
      <c r="I24" s="309">
        <f t="shared" si="1"/>
        <v>0</v>
      </c>
      <c r="J24" s="309">
        <f t="shared" si="2"/>
        <v>0</v>
      </c>
      <c r="K24" s="309"/>
      <c r="L24" s="309">
        <v>0</v>
      </c>
      <c r="M24" s="309">
        <v>0</v>
      </c>
      <c r="N24" s="309">
        <v>0</v>
      </c>
      <c r="O24" s="309">
        <v>0</v>
      </c>
      <c r="P24" s="309">
        <v>0</v>
      </c>
      <c r="Q24" s="312"/>
      <c r="R24" s="309">
        <f t="shared" si="3"/>
        <v>0</v>
      </c>
      <c r="S24" s="309">
        <f t="shared" si="4"/>
        <v>0</v>
      </c>
      <c r="T24" s="309"/>
      <c r="U24" s="309">
        <v>0</v>
      </c>
      <c r="V24" s="309">
        <v>0</v>
      </c>
      <c r="W24" s="309">
        <v>0</v>
      </c>
      <c r="X24" s="309">
        <v>0</v>
      </c>
      <c r="Y24" s="309">
        <v>0</v>
      </c>
      <c r="Z24" s="309"/>
      <c r="AA24" s="309">
        <f t="shared" si="5"/>
        <v>0</v>
      </c>
      <c r="AB24" s="309">
        <f t="shared" si="6"/>
        <v>0</v>
      </c>
      <c r="AC24" s="309"/>
      <c r="AD24" s="309">
        <v>0</v>
      </c>
      <c r="AE24" s="309">
        <v>0</v>
      </c>
      <c r="AF24" s="309">
        <v>0</v>
      </c>
      <c r="AG24" s="309">
        <v>0</v>
      </c>
      <c r="AH24" s="309">
        <v>0</v>
      </c>
      <c r="AI24" s="309"/>
      <c r="AJ24" s="309">
        <f t="shared" si="7"/>
        <v>0</v>
      </c>
      <c r="AK24" s="309">
        <f t="shared" si="8"/>
        <v>0</v>
      </c>
      <c r="AL24" s="309"/>
      <c r="AM24" s="309">
        <v>0</v>
      </c>
      <c r="AN24" s="309">
        <v>0</v>
      </c>
      <c r="AO24" s="309">
        <v>0</v>
      </c>
      <c r="AP24" s="309">
        <v>0</v>
      </c>
      <c r="AQ24" s="309">
        <v>0</v>
      </c>
      <c r="AR24" s="309"/>
      <c r="AS24" s="309">
        <f t="shared" si="9"/>
        <v>0</v>
      </c>
      <c r="AT24" s="309">
        <f t="shared" si="10"/>
        <v>0</v>
      </c>
      <c r="AU24" s="309"/>
      <c r="AV24" s="309">
        <v>0</v>
      </c>
      <c r="AW24" s="309">
        <v>0</v>
      </c>
      <c r="AX24" s="309">
        <v>0</v>
      </c>
      <c r="AY24" s="309">
        <v>0</v>
      </c>
      <c r="AZ24" s="309">
        <v>0</v>
      </c>
      <c r="BA24" s="309"/>
      <c r="BB24" s="309">
        <f t="shared" si="11"/>
        <v>0</v>
      </c>
      <c r="BC24" s="309">
        <f t="shared" si="12"/>
        <v>0</v>
      </c>
      <c r="BD24" s="309"/>
      <c r="BE24" s="309">
        <v>0</v>
      </c>
      <c r="BF24" s="309">
        <v>0</v>
      </c>
      <c r="BG24" s="309">
        <v>0</v>
      </c>
      <c r="BH24" s="309">
        <v>0</v>
      </c>
      <c r="BI24" s="309">
        <v>0</v>
      </c>
      <c r="BJ24" s="309"/>
      <c r="BK24" s="309">
        <f t="shared" si="13"/>
        <v>0</v>
      </c>
      <c r="BL24" s="309">
        <f t="shared" si="14"/>
        <v>0</v>
      </c>
      <c r="BM24" s="309"/>
      <c r="BN24" s="309">
        <v>0</v>
      </c>
      <c r="BO24" s="309">
        <v>0</v>
      </c>
      <c r="BP24" s="309">
        <v>0</v>
      </c>
      <c r="BQ24" s="309">
        <v>0</v>
      </c>
      <c r="BR24" s="309">
        <v>0</v>
      </c>
      <c r="BS24" s="309"/>
      <c r="BT24" s="309">
        <f t="shared" si="15"/>
        <v>0</v>
      </c>
      <c r="BU24" s="309">
        <f t="shared" si="16"/>
        <v>0</v>
      </c>
      <c r="BV24" s="309"/>
      <c r="BW24" s="309">
        <v>0</v>
      </c>
      <c r="BX24" s="309">
        <v>0</v>
      </c>
      <c r="BY24" s="309">
        <v>0</v>
      </c>
      <c r="BZ24" s="309">
        <v>0</v>
      </c>
      <c r="CA24" s="309">
        <v>0</v>
      </c>
      <c r="CB24" s="309"/>
      <c r="CC24" s="309">
        <f t="shared" si="17"/>
        <v>0</v>
      </c>
      <c r="CD24" s="309">
        <f t="shared" si="18"/>
        <v>0</v>
      </c>
      <c r="CE24" s="309"/>
      <c r="CF24" s="309">
        <v>0</v>
      </c>
      <c r="CG24" s="309">
        <v>0</v>
      </c>
      <c r="CH24" s="309">
        <v>0</v>
      </c>
      <c r="CI24" s="309">
        <v>0</v>
      </c>
      <c r="CJ24" s="309">
        <v>0</v>
      </c>
      <c r="CK24" s="309"/>
      <c r="CL24" s="309">
        <f t="shared" si="19"/>
        <v>0</v>
      </c>
      <c r="CM24" s="309">
        <f t="shared" si="20"/>
        <v>0</v>
      </c>
      <c r="CN24" s="309"/>
      <c r="CO24" s="309">
        <v>0</v>
      </c>
      <c r="CP24" s="309">
        <v>0</v>
      </c>
      <c r="CQ24" s="309">
        <v>0</v>
      </c>
      <c r="CR24" s="309">
        <v>0</v>
      </c>
      <c r="CS24" s="309">
        <v>0</v>
      </c>
      <c r="CT24" s="309"/>
      <c r="CU24" s="309">
        <f t="shared" si="21"/>
        <v>0</v>
      </c>
      <c r="CV24" s="309">
        <f t="shared" si="22"/>
        <v>0</v>
      </c>
      <c r="CW24" s="309"/>
      <c r="CX24" s="309">
        <v>0</v>
      </c>
      <c r="CY24" s="309">
        <v>0</v>
      </c>
      <c r="CZ24" s="309">
        <v>0</v>
      </c>
      <c r="DA24" s="309">
        <v>0</v>
      </c>
      <c r="DB24" s="309">
        <v>0</v>
      </c>
      <c r="DC24" s="309"/>
      <c r="DD24" s="309">
        <f t="shared" si="23"/>
        <v>0</v>
      </c>
      <c r="DE24" s="309">
        <f t="shared" si="24"/>
        <v>0</v>
      </c>
      <c r="DF24" s="309"/>
      <c r="DG24" s="309">
        <f t="shared" si="25"/>
        <v>0</v>
      </c>
      <c r="DH24" s="309">
        <f t="shared" si="25"/>
        <v>0</v>
      </c>
      <c r="DI24" s="309">
        <f t="shared" si="25"/>
        <v>0</v>
      </c>
      <c r="DJ24" s="309">
        <f t="shared" si="25"/>
        <v>0</v>
      </c>
      <c r="DK24" s="309">
        <f t="shared" si="25"/>
        <v>0</v>
      </c>
      <c r="DL24" s="309"/>
      <c r="DM24" s="309">
        <f t="shared" si="26"/>
        <v>0</v>
      </c>
      <c r="DN24" s="309">
        <f t="shared" si="27"/>
        <v>0</v>
      </c>
      <c r="DO24" s="509"/>
    </row>
    <row r="25" spans="1:119" s="317" customFormat="1" ht="20.25" hidden="1" customHeight="1" x14ac:dyDescent="0.2">
      <c r="A25" s="307">
        <v>16</v>
      </c>
      <c r="B25" s="315" t="s">
        <v>2467</v>
      </c>
      <c r="C25" s="309">
        <v>0</v>
      </c>
      <c r="D25" s="309">
        <v>0</v>
      </c>
      <c r="E25" s="309">
        <v>0</v>
      </c>
      <c r="F25" s="309">
        <v>0</v>
      </c>
      <c r="G25" s="309">
        <v>0</v>
      </c>
      <c r="H25" s="316"/>
      <c r="I25" s="309">
        <f t="shared" si="1"/>
        <v>0</v>
      </c>
      <c r="J25" s="309">
        <f t="shared" si="2"/>
        <v>0</v>
      </c>
      <c r="K25" s="309"/>
      <c r="L25" s="309">
        <v>0</v>
      </c>
      <c r="M25" s="309">
        <v>0</v>
      </c>
      <c r="N25" s="309">
        <v>0</v>
      </c>
      <c r="O25" s="309">
        <v>0</v>
      </c>
      <c r="P25" s="309">
        <v>0</v>
      </c>
      <c r="Q25" s="316"/>
      <c r="R25" s="309">
        <f t="shared" si="3"/>
        <v>0</v>
      </c>
      <c r="S25" s="309">
        <f t="shared" si="4"/>
        <v>0</v>
      </c>
      <c r="T25" s="309"/>
      <c r="U25" s="309">
        <v>0</v>
      </c>
      <c r="V25" s="309">
        <v>0</v>
      </c>
      <c r="W25" s="309">
        <v>0</v>
      </c>
      <c r="X25" s="309">
        <v>0</v>
      </c>
      <c r="Y25" s="309">
        <v>0</v>
      </c>
      <c r="Z25" s="309"/>
      <c r="AA25" s="309">
        <f t="shared" si="5"/>
        <v>0</v>
      </c>
      <c r="AB25" s="309">
        <f t="shared" si="6"/>
        <v>0</v>
      </c>
      <c r="AC25" s="309"/>
      <c r="AD25" s="309">
        <v>0</v>
      </c>
      <c r="AE25" s="309">
        <v>0</v>
      </c>
      <c r="AF25" s="309">
        <v>0</v>
      </c>
      <c r="AG25" s="309">
        <v>0</v>
      </c>
      <c r="AH25" s="309">
        <v>0</v>
      </c>
      <c r="AI25" s="309"/>
      <c r="AJ25" s="309">
        <f t="shared" si="7"/>
        <v>0</v>
      </c>
      <c r="AK25" s="309">
        <f t="shared" si="8"/>
        <v>0</v>
      </c>
      <c r="AL25" s="309"/>
      <c r="AM25" s="309">
        <v>0</v>
      </c>
      <c r="AN25" s="309">
        <v>0</v>
      </c>
      <c r="AO25" s="309">
        <v>0</v>
      </c>
      <c r="AP25" s="309">
        <v>0</v>
      </c>
      <c r="AQ25" s="309">
        <v>0</v>
      </c>
      <c r="AR25" s="309"/>
      <c r="AS25" s="309">
        <f t="shared" si="9"/>
        <v>0</v>
      </c>
      <c r="AT25" s="309">
        <f t="shared" si="10"/>
        <v>0</v>
      </c>
      <c r="AU25" s="309"/>
      <c r="AV25" s="309">
        <v>0</v>
      </c>
      <c r="AW25" s="309">
        <v>0</v>
      </c>
      <c r="AX25" s="309">
        <v>0</v>
      </c>
      <c r="AY25" s="309">
        <v>0</v>
      </c>
      <c r="AZ25" s="309">
        <v>0</v>
      </c>
      <c r="BA25" s="309"/>
      <c r="BB25" s="309">
        <f t="shared" si="11"/>
        <v>0</v>
      </c>
      <c r="BC25" s="309">
        <f t="shared" si="12"/>
        <v>0</v>
      </c>
      <c r="BD25" s="309"/>
      <c r="BE25" s="309">
        <v>0</v>
      </c>
      <c r="BF25" s="309">
        <v>0</v>
      </c>
      <c r="BG25" s="309">
        <v>0</v>
      </c>
      <c r="BH25" s="309">
        <v>0</v>
      </c>
      <c r="BI25" s="309">
        <v>0</v>
      </c>
      <c r="BJ25" s="309"/>
      <c r="BK25" s="309">
        <f t="shared" si="13"/>
        <v>0</v>
      </c>
      <c r="BL25" s="309">
        <f t="shared" si="14"/>
        <v>0</v>
      </c>
      <c r="BM25" s="309"/>
      <c r="BN25" s="309">
        <v>0</v>
      </c>
      <c r="BO25" s="309">
        <v>0</v>
      </c>
      <c r="BP25" s="309">
        <v>0</v>
      </c>
      <c r="BQ25" s="309">
        <v>0</v>
      </c>
      <c r="BR25" s="309">
        <v>0</v>
      </c>
      <c r="BS25" s="309"/>
      <c r="BT25" s="309">
        <f t="shared" si="15"/>
        <v>0</v>
      </c>
      <c r="BU25" s="309">
        <f t="shared" si="16"/>
        <v>0</v>
      </c>
      <c r="BV25" s="309"/>
      <c r="BW25" s="309">
        <v>0</v>
      </c>
      <c r="BX25" s="309">
        <v>0</v>
      </c>
      <c r="BY25" s="309">
        <v>0</v>
      </c>
      <c r="BZ25" s="309">
        <v>0</v>
      </c>
      <c r="CA25" s="309">
        <v>0</v>
      </c>
      <c r="CB25" s="309"/>
      <c r="CC25" s="309">
        <f t="shared" si="17"/>
        <v>0</v>
      </c>
      <c r="CD25" s="309">
        <f t="shared" si="18"/>
        <v>0</v>
      </c>
      <c r="CE25" s="309"/>
      <c r="CF25" s="309">
        <v>0</v>
      </c>
      <c r="CG25" s="309">
        <v>0</v>
      </c>
      <c r="CH25" s="309">
        <v>0</v>
      </c>
      <c r="CI25" s="309">
        <v>0</v>
      </c>
      <c r="CJ25" s="309">
        <v>0</v>
      </c>
      <c r="CK25" s="309"/>
      <c r="CL25" s="309">
        <f t="shared" si="19"/>
        <v>0</v>
      </c>
      <c r="CM25" s="309">
        <f t="shared" si="20"/>
        <v>0</v>
      </c>
      <c r="CN25" s="309"/>
      <c r="CO25" s="309">
        <v>0</v>
      </c>
      <c r="CP25" s="309">
        <v>0</v>
      </c>
      <c r="CQ25" s="309">
        <v>0</v>
      </c>
      <c r="CR25" s="309">
        <v>0</v>
      </c>
      <c r="CS25" s="309">
        <v>0</v>
      </c>
      <c r="CT25" s="309"/>
      <c r="CU25" s="309">
        <f t="shared" si="21"/>
        <v>0</v>
      </c>
      <c r="CV25" s="309">
        <f t="shared" si="22"/>
        <v>0</v>
      </c>
      <c r="CW25" s="309"/>
      <c r="CX25" s="309">
        <v>0</v>
      </c>
      <c r="CY25" s="309">
        <v>0</v>
      </c>
      <c r="CZ25" s="309">
        <v>0</v>
      </c>
      <c r="DA25" s="309">
        <v>0</v>
      </c>
      <c r="DB25" s="309">
        <v>0</v>
      </c>
      <c r="DC25" s="309"/>
      <c r="DD25" s="309">
        <f t="shared" si="23"/>
        <v>0</v>
      </c>
      <c r="DE25" s="309">
        <f t="shared" si="24"/>
        <v>0</v>
      </c>
      <c r="DF25" s="309"/>
      <c r="DG25" s="309">
        <f t="shared" si="25"/>
        <v>0</v>
      </c>
      <c r="DH25" s="309">
        <f t="shared" si="25"/>
        <v>0</v>
      </c>
      <c r="DI25" s="309">
        <f t="shared" si="25"/>
        <v>0</v>
      </c>
      <c r="DJ25" s="309">
        <f t="shared" si="25"/>
        <v>0</v>
      </c>
      <c r="DK25" s="309">
        <f t="shared" si="25"/>
        <v>0</v>
      </c>
      <c r="DL25" s="309"/>
      <c r="DM25" s="309">
        <f t="shared" si="26"/>
        <v>0</v>
      </c>
      <c r="DN25" s="309">
        <f t="shared" si="27"/>
        <v>0</v>
      </c>
      <c r="DO25" s="509"/>
    </row>
    <row r="26" spans="1:119" s="322" customFormat="1" ht="22.5" hidden="1" customHeight="1" x14ac:dyDescent="0.45">
      <c r="A26" s="307">
        <v>17</v>
      </c>
      <c r="B26" s="315" t="s">
        <v>2555</v>
      </c>
      <c r="C26" s="309">
        <v>0</v>
      </c>
      <c r="D26" s="309">
        <v>0</v>
      </c>
      <c r="E26" s="309">
        <v>0</v>
      </c>
      <c r="F26" s="309">
        <v>0</v>
      </c>
      <c r="G26" s="309">
        <v>0</v>
      </c>
      <c r="H26" s="421"/>
      <c r="I26" s="309">
        <f t="shared" si="1"/>
        <v>0</v>
      </c>
      <c r="J26" s="309">
        <f t="shared" si="2"/>
        <v>0</v>
      </c>
      <c r="K26" s="422"/>
      <c r="L26" s="309">
        <v>0</v>
      </c>
      <c r="M26" s="309">
        <v>0</v>
      </c>
      <c r="N26" s="309">
        <v>0</v>
      </c>
      <c r="O26" s="309">
        <v>0</v>
      </c>
      <c r="P26" s="309">
        <v>0</v>
      </c>
      <c r="Q26" s="421"/>
      <c r="R26" s="309">
        <f t="shared" si="3"/>
        <v>0</v>
      </c>
      <c r="S26" s="309">
        <f t="shared" si="4"/>
        <v>0</v>
      </c>
      <c r="T26" s="422"/>
      <c r="U26" s="309">
        <v>0</v>
      </c>
      <c r="V26" s="309">
        <v>0</v>
      </c>
      <c r="W26" s="309">
        <v>0</v>
      </c>
      <c r="X26" s="309">
        <v>0</v>
      </c>
      <c r="Y26" s="309">
        <v>0</v>
      </c>
      <c r="Z26" s="309"/>
      <c r="AA26" s="309">
        <f t="shared" si="5"/>
        <v>0</v>
      </c>
      <c r="AB26" s="309">
        <f t="shared" si="6"/>
        <v>0</v>
      </c>
      <c r="AC26" s="422"/>
      <c r="AD26" s="309">
        <v>0</v>
      </c>
      <c r="AE26" s="309">
        <v>0</v>
      </c>
      <c r="AF26" s="309">
        <v>0</v>
      </c>
      <c r="AG26" s="309">
        <v>0</v>
      </c>
      <c r="AH26" s="309">
        <v>0</v>
      </c>
      <c r="AI26" s="309"/>
      <c r="AJ26" s="309">
        <f t="shared" si="7"/>
        <v>0</v>
      </c>
      <c r="AK26" s="309">
        <f t="shared" si="8"/>
        <v>0</v>
      </c>
      <c r="AL26" s="422"/>
      <c r="AM26" s="309">
        <v>0</v>
      </c>
      <c r="AN26" s="309">
        <v>0</v>
      </c>
      <c r="AO26" s="309">
        <v>0</v>
      </c>
      <c r="AP26" s="309">
        <v>0</v>
      </c>
      <c r="AQ26" s="309">
        <v>0</v>
      </c>
      <c r="AR26" s="309"/>
      <c r="AS26" s="309">
        <f t="shared" si="9"/>
        <v>0</v>
      </c>
      <c r="AT26" s="309">
        <f t="shared" si="10"/>
        <v>0</v>
      </c>
      <c r="AU26" s="422"/>
      <c r="AV26" s="309">
        <v>0</v>
      </c>
      <c r="AW26" s="309">
        <v>0</v>
      </c>
      <c r="AX26" s="309">
        <v>0</v>
      </c>
      <c r="AY26" s="309">
        <v>0</v>
      </c>
      <c r="AZ26" s="309">
        <v>0</v>
      </c>
      <c r="BA26" s="309"/>
      <c r="BB26" s="309">
        <f t="shared" si="11"/>
        <v>0</v>
      </c>
      <c r="BC26" s="309">
        <f t="shared" si="12"/>
        <v>0</v>
      </c>
      <c r="BD26" s="422"/>
      <c r="BE26" s="309">
        <v>0</v>
      </c>
      <c r="BF26" s="309">
        <v>0</v>
      </c>
      <c r="BG26" s="309">
        <v>0</v>
      </c>
      <c r="BH26" s="309">
        <v>0</v>
      </c>
      <c r="BI26" s="309">
        <v>0</v>
      </c>
      <c r="BJ26" s="309"/>
      <c r="BK26" s="309">
        <f t="shared" si="13"/>
        <v>0</v>
      </c>
      <c r="BL26" s="309">
        <f t="shared" si="14"/>
        <v>0</v>
      </c>
      <c r="BM26" s="309"/>
      <c r="BN26" s="309">
        <v>0</v>
      </c>
      <c r="BO26" s="309">
        <v>0</v>
      </c>
      <c r="BP26" s="309">
        <v>0</v>
      </c>
      <c r="BQ26" s="309">
        <v>0</v>
      </c>
      <c r="BR26" s="309">
        <v>0</v>
      </c>
      <c r="BS26" s="309"/>
      <c r="BT26" s="309">
        <f t="shared" si="15"/>
        <v>0</v>
      </c>
      <c r="BU26" s="309">
        <f t="shared" si="16"/>
        <v>0</v>
      </c>
      <c r="BV26" s="309"/>
      <c r="BW26" s="309">
        <v>0</v>
      </c>
      <c r="BX26" s="309">
        <v>0</v>
      </c>
      <c r="BY26" s="309">
        <v>0</v>
      </c>
      <c r="BZ26" s="309">
        <v>0</v>
      </c>
      <c r="CA26" s="309">
        <v>0</v>
      </c>
      <c r="CB26" s="309"/>
      <c r="CC26" s="309">
        <f t="shared" si="17"/>
        <v>0</v>
      </c>
      <c r="CD26" s="309">
        <f t="shared" si="18"/>
        <v>0</v>
      </c>
      <c r="CE26" s="309"/>
      <c r="CF26" s="309">
        <v>0</v>
      </c>
      <c r="CG26" s="309">
        <v>0</v>
      </c>
      <c r="CH26" s="309">
        <v>0</v>
      </c>
      <c r="CI26" s="309">
        <v>0</v>
      </c>
      <c r="CJ26" s="309">
        <v>0</v>
      </c>
      <c r="CK26" s="309"/>
      <c r="CL26" s="309">
        <f t="shared" si="19"/>
        <v>0</v>
      </c>
      <c r="CM26" s="309">
        <f t="shared" si="20"/>
        <v>0</v>
      </c>
      <c r="CN26" s="309"/>
      <c r="CO26" s="309">
        <v>0</v>
      </c>
      <c r="CP26" s="309">
        <v>0</v>
      </c>
      <c r="CQ26" s="309">
        <v>0</v>
      </c>
      <c r="CR26" s="309">
        <v>0</v>
      </c>
      <c r="CS26" s="309">
        <v>0</v>
      </c>
      <c r="CT26" s="309"/>
      <c r="CU26" s="309">
        <f t="shared" si="21"/>
        <v>0</v>
      </c>
      <c r="CV26" s="309">
        <f t="shared" si="22"/>
        <v>0</v>
      </c>
      <c r="CW26" s="309"/>
      <c r="CX26" s="309">
        <v>0</v>
      </c>
      <c r="CY26" s="309">
        <v>0</v>
      </c>
      <c r="CZ26" s="309">
        <v>0</v>
      </c>
      <c r="DA26" s="309">
        <v>0</v>
      </c>
      <c r="DB26" s="309">
        <v>0</v>
      </c>
      <c r="DC26" s="309"/>
      <c r="DD26" s="309">
        <f t="shared" si="23"/>
        <v>0</v>
      </c>
      <c r="DE26" s="309">
        <f t="shared" si="24"/>
        <v>0</v>
      </c>
      <c r="DF26" s="422"/>
      <c r="DG26" s="309">
        <f t="shared" si="25"/>
        <v>0</v>
      </c>
      <c r="DH26" s="309">
        <f t="shared" si="25"/>
        <v>0</v>
      </c>
      <c r="DI26" s="309">
        <f t="shared" si="25"/>
        <v>0</v>
      </c>
      <c r="DJ26" s="309">
        <f t="shared" si="25"/>
        <v>0</v>
      </c>
      <c r="DK26" s="309">
        <f t="shared" si="25"/>
        <v>0</v>
      </c>
      <c r="DL26" s="309"/>
      <c r="DM26" s="309">
        <f t="shared" si="26"/>
        <v>0</v>
      </c>
      <c r="DN26" s="309">
        <f t="shared" si="27"/>
        <v>0</v>
      </c>
      <c r="DO26" s="509"/>
    </row>
    <row r="27" spans="1:119" ht="24" thickBot="1" x14ac:dyDescent="0.55000000000000004">
      <c r="A27" s="514"/>
      <c r="B27" s="515" t="s">
        <v>1919</v>
      </c>
      <c r="C27" s="503">
        <f>SUM(C10:C26)</f>
        <v>83973</v>
      </c>
      <c r="D27" s="503">
        <f>SUM(D10:D26)</f>
        <v>4198.6500000000005</v>
      </c>
      <c r="E27" s="503">
        <f>SUM(E10:E26)</f>
        <v>4198.6500000000005</v>
      </c>
      <c r="F27" s="503">
        <f>SUM(F10:F26)</f>
        <v>0</v>
      </c>
      <c r="G27" s="503">
        <f>SUM(G10:G26)</f>
        <v>0</v>
      </c>
      <c r="H27" s="503"/>
      <c r="I27" s="503">
        <f>SUM(I10:I26)</f>
        <v>8397.3000000000011</v>
      </c>
      <c r="J27" s="503">
        <f>SUM(J10:J26)</f>
        <v>75575.7</v>
      </c>
      <c r="K27" s="504"/>
      <c r="L27" s="504">
        <f t="shared" ref="L27:S27" si="28">SUM(L10:L26)</f>
        <v>1583614</v>
      </c>
      <c r="M27" s="504">
        <f t="shared" si="28"/>
        <v>62175.7</v>
      </c>
      <c r="N27" s="504">
        <f t="shared" si="28"/>
        <v>62175.7</v>
      </c>
      <c r="O27" s="504">
        <f t="shared" si="28"/>
        <v>24358</v>
      </c>
      <c r="P27" s="504">
        <f t="shared" si="28"/>
        <v>24358</v>
      </c>
      <c r="Q27" s="504">
        <f t="shared" si="28"/>
        <v>0</v>
      </c>
      <c r="R27" s="504">
        <f t="shared" si="28"/>
        <v>173067.4</v>
      </c>
      <c r="S27" s="504">
        <f t="shared" si="28"/>
        <v>1410546.6</v>
      </c>
      <c r="T27" s="504"/>
      <c r="U27" s="503">
        <f>SUM(U10:U26)</f>
        <v>1086971.2</v>
      </c>
      <c r="V27" s="503">
        <f>SUM(V10:V26)</f>
        <v>35581.699999999997</v>
      </c>
      <c r="W27" s="503">
        <f>SUM(W10:W26)</f>
        <v>35581.699999999997</v>
      </c>
      <c r="X27" s="503">
        <f>SUM(X10:X26)</f>
        <v>42691</v>
      </c>
      <c r="Y27" s="503">
        <f>SUM(Y10:Y26)</f>
        <v>42691</v>
      </c>
      <c r="Z27" s="503"/>
      <c r="AA27" s="503">
        <f>SUM(AA10:AA26)</f>
        <v>156545.4</v>
      </c>
      <c r="AB27" s="503">
        <f>SUM(AB10:AB26)</f>
        <v>930425.8</v>
      </c>
      <c r="AC27" s="504"/>
      <c r="AD27" s="504">
        <f>SUM(AD10:AD26)</f>
        <v>1322175</v>
      </c>
      <c r="AE27" s="504">
        <f>SUM(AE10:AE26)</f>
        <v>5150</v>
      </c>
      <c r="AF27" s="504">
        <f>SUM(AF10:AF26)</f>
        <v>5150</v>
      </c>
      <c r="AG27" s="504">
        <f>SUM(AG10:AG26)</f>
        <v>2466.25</v>
      </c>
      <c r="AH27" s="504">
        <f>SUM(AH10:AH26)</f>
        <v>2466.25</v>
      </c>
      <c r="AI27" s="504"/>
      <c r="AJ27" s="504">
        <f>SUM(AJ10:AJ26)</f>
        <v>15232.5</v>
      </c>
      <c r="AK27" s="504">
        <f>SUM(AK10:AK26)</f>
        <v>1306942.5</v>
      </c>
      <c r="AL27" s="504"/>
      <c r="AM27" s="503">
        <f>SUM(AM10:AM26)</f>
        <v>5622917</v>
      </c>
      <c r="AN27" s="503">
        <f t="shared" ref="AN27:AT27" si="29">SUM(AN10:AN26)</f>
        <v>11000</v>
      </c>
      <c r="AO27" s="503">
        <f t="shared" si="29"/>
        <v>11000</v>
      </c>
      <c r="AP27" s="503">
        <f t="shared" si="29"/>
        <v>38210</v>
      </c>
      <c r="AQ27" s="503">
        <f t="shared" si="29"/>
        <v>38210</v>
      </c>
      <c r="AR27" s="503"/>
      <c r="AS27" s="503">
        <f t="shared" si="29"/>
        <v>98420</v>
      </c>
      <c r="AT27" s="503">
        <f t="shared" si="29"/>
        <v>5524497</v>
      </c>
      <c r="AU27" s="504"/>
      <c r="AV27" s="504">
        <f>SUM(AV10:AV26)</f>
        <v>1830273.07</v>
      </c>
      <c r="AW27" s="504">
        <f t="shared" ref="AW27:BC27" si="30">SUM(AW10:AW26)</f>
        <v>15250</v>
      </c>
      <c r="AX27" s="504">
        <f t="shared" si="30"/>
        <v>15250</v>
      </c>
      <c r="AY27" s="504">
        <f t="shared" si="30"/>
        <v>56419.5</v>
      </c>
      <c r="AZ27" s="504">
        <f t="shared" si="30"/>
        <v>56419.5</v>
      </c>
      <c r="BA27" s="504"/>
      <c r="BB27" s="504">
        <f t="shared" si="30"/>
        <v>143339</v>
      </c>
      <c r="BC27" s="504">
        <f t="shared" si="30"/>
        <v>1686934.07</v>
      </c>
      <c r="BD27" s="504"/>
      <c r="BE27" s="503">
        <f>SUM(BE10:BE26)</f>
        <v>0</v>
      </c>
      <c r="BF27" s="503">
        <f t="shared" ref="BF27:BL27" si="31">SUM(BF10:BF26)</f>
        <v>0</v>
      </c>
      <c r="BG27" s="503">
        <f t="shared" si="31"/>
        <v>0</v>
      </c>
      <c r="BH27" s="503">
        <f t="shared" si="31"/>
        <v>0</v>
      </c>
      <c r="BI27" s="503">
        <f t="shared" si="31"/>
        <v>0</v>
      </c>
      <c r="BJ27" s="503"/>
      <c r="BK27" s="503">
        <f t="shared" si="31"/>
        <v>0</v>
      </c>
      <c r="BL27" s="503">
        <f t="shared" si="31"/>
        <v>0</v>
      </c>
      <c r="BM27" s="504"/>
      <c r="BN27" s="504">
        <f>SUM(BN10:BN26)</f>
        <v>0</v>
      </c>
      <c r="BO27" s="504">
        <f t="shared" ref="BO27:BU27" si="32">SUM(BO10:BO26)</f>
        <v>0</v>
      </c>
      <c r="BP27" s="504">
        <f t="shared" si="32"/>
        <v>0</v>
      </c>
      <c r="BQ27" s="504">
        <f t="shared" si="32"/>
        <v>0</v>
      </c>
      <c r="BR27" s="504">
        <f t="shared" si="32"/>
        <v>0</v>
      </c>
      <c r="BS27" s="504"/>
      <c r="BT27" s="504">
        <f t="shared" si="32"/>
        <v>0</v>
      </c>
      <c r="BU27" s="504">
        <f t="shared" si="32"/>
        <v>0</v>
      </c>
      <c r="BV27" s="504"/>
      <c r="BW27" s="503">
        <f>SUM(BW10:BW26)</f>
        <v>0</v>
      </c>
      <c r="BX27" s="503">
        <f t="shared" ref="BX27:CD27" si="33">SUM(BX10:BX26)</f>
        <v>0</v>
      </c>
      <c r="BY27" s="503">
        <f t="shared" si="33"/>
        <v>0</v>
      </c>
      <c r="BZ27" s="503">
        <f t="shared" si="33"/>
        <v>0</v>
      </c>
      <c r="CA27" s="503">
        <f t="shared" si="33"/>
        <v>0</v>
      </c>
      <c r="CB27" s="503"/>
      <c r="CC27" s="503">
        <f t="shared" si="33"/>
        <v>0</v>
      </c>
      <c r="CD27" s="503">
        <f t="shared" si="33"/>
        <v>0</v>
      </c>
      <c r="CE27" s="504"/>
      <c r="CF27" s="564">
        <f>SUM(CF10:CF26)</f>
        <v>0</v>
      </c>
      <c r="CG27" s="564">
        <f t="shared" ref="CG27:CM27" si="34">SUM(CG10:CG26)</f>
        <v>0</v>
      </c>
      <c r="CH27" s="564">
        <f t="shared" si="34"/>
        <v>0</v>
      </c>
      <c r="CI27" s="564">
        <f t="shared" si="34"/>
        <v>0</v>
      </c>
      <c r="CJ27" s="564">
        <f t="shared" si="34"/>
        <v>0</v>
      </c>
      <c r="CK27" s="564"/>
      <c r="CL27" s="564">
        <f t="shared" si="34"/>
        <v>0</v>
      </c>
      <c r="CM27" s="564">
        <f t="shared" si="34"/>
        <v>0</v>
      </c>
      <c r="CN27" s="504"/>
      <c r="CO27" s="565">
        <f>SUM(CO10:CO26)</f>
        <v>0</v>
      </c>
      <c r="CP27" s="565">
        <f t="shared" ref="CP27:CV27" si="35">SUM(CP10:CP26)</f>
        <v>0</v>
      </c>
      <c r="CQ27" s="565">
        <f t="shared" si="35"/>
        <v>0</v>
      </c>
      <c r="CR27" s="565">
        <f t="shared" si="35"/>
        <v>0</v>
      </c>
      <c r="CS27" s="565">
        <f t="shared" si="35"/>
        <v>0</v>
      </c>
      <c r="CT27" s="565"/>
      <c r="CU27" s="565">
        <f t="shared" si="35"/>
        <v>0</v>
      </c>
      <c r="CV27" s="565">
        <f t="shared" si="35"/>
        <v>0</v>
      </c>
      <c r="CW27" s="504"/>
      <c r="CX27" s="504">
        <f>SUM(CX10:CX26)</f>
        <v>0</v>
      </c>
      <c r="CY27" s="504">
        <f t="shared" ref="CY27:DE27" si="36">SUM(CY10:CY26)</f>
        <v>0</v>
      </c>
      <c r="CZ27" s="504">
        <f t="shared" si="36"/>
        <v>0</v>
      </c>
      <c r="DA27" s="504">
        <f t="shared" si="36"/>
        <v>0</v>
      </c>
      <c r="DB27" s="504">
        <f t="shared" si="36"/>
        <v>0</v>
      </c>
      <c r="DC27" s="504"/>
      <c r="DD27" s="504">
        <f t="shared" si="36"/>
        <v>0</v>
      </c>
      <c r="DE27" s="504">
        <f t="shared" si="36"/>
        <v>0</v>
      </c>
      <c r="DF27" s="504"/>
      <c r="DG27" s="318">
        <f>SUM(DG10:DG26)</f>
        <v>11529923.27</v>
      </c>
      <c r="DH27" s="319">
        <f>SUM(DH10:DH26)</f>
        <v>133356.04999999999</v>
      </c>
      <c r="DI27" s="319">
        <f>SUM(DI10:DI26)</f>
        <v>133356.04999999999</v>
      </c>
      <c r="DJ27" s="320">
        <f>SUM(DJ10:DJ26)</f>
        <v>164144.75</v>
      </c>
      <c r="DK27" s="320">
        <f>SUM(DK10:DK26)</f>
        <v>164144.75</v>
      </c>
      <c r="DL27" s="320"/>
      <c r="DM27" s="574">
        <f>SUM(DM10:DM26)</f>
        <v>595001.60000000009</v>
      </c>
      <c r="DN27" s="321">
        <f>SUM(DN10:DN26)</f>
        <v>10934921.67</v>
      </c>
    </row>
    <row r="28" spans="1:119" s="313" customFormat="1" ht="20.25" customHeight="1" thickTop="1" x14ac:dyDescent="0.5">
      <c r="A28" s="323"/>
      <c r="B28" s="323"/>
      <c r="C28" s="324"/>
      <c r="D28" s="325"/>
      <c r="E28" s="325"/>
      <c r="F28" s="325"/>
      <c r="G28" s="325"/>
      <c r="H28" s="325"/>
      <c r="I28" s="325"/>
      <c r="J28" s="325"/>
      <c r="K28" s="505"/>
      <c r="L28" s="324"/>
      <c r="M28" s="325"/>
      <c r="N28" s="325"/>
      <c r="O28" s="325"/>
      <c r="P28" s="325"/>
      <c r="Q28" s="325"/>
      <c r="R28" s="325"/>
      <c r="S28" s="325"/>
      <c r="T28" s="325"/>
      <c r="U28" s="324"/>
      <c r="V28" s="325"/>
      <c r="W28" s="325"/>
      <c r="X28" s="325"/>
      <c r="Y28" s="325"/>
      <c r="Z28" s="325"/>
      <c r="AA28" s="325"/>
      <c r="AB28" s="325"/>
      <c r="AC28" s="505"/>
      <c r="AD28" s="324"/>
      <c r="AE28" s="325"/>
      <c r="AF28" s="325"/>
      <c r="AG28" s="325"/>
      <c r="AH28" s="325"/>
      <c r="AI28" s="325"/>
      <c r="AJ28" s="325"/>
      <c r="AK28" s="325"/>
      <c r="AL28" s="325"/>
      <c r="AM28" s="324"/>
      <c r="AN28" s="325"/>
      <c r="AO28" s="325"/>
      <c r="AP28" s="325"/>
      <c r="AQ28" s="325"/>
      <c r="AR28" s="325"/>
      <c r="AS28" s="325"/>
      <c r="AT28" s="325"/>
      <c r="AU28" s="505"/>
      <c r="AV28" s="324"/>
      <c r="AW28" s="325"/>
      <c r="AX28" s="325"/>
      <c r="AY28" s="325"/>
      <c r="AZ28" s="325"/>
      <c r="BA28" s="325"/>
      <c r="BB28" s="325"/>
      <c r="BC28" s="325"/>
      <c r="BD28" s="325"/>
      <c r="BE28" s="324"/>
      <c r="BF28" s="325"/>
      <c r="BG28" s="325"/>
      <c r="BH28" s="325"/>
      <c r="BI28" s="325"/>
      <c r="BJ28" s="325"/>
      <c r="BK28" s="325"/>
      <c r="BL28" s="325"/>
      <c r="BM28" s="505"/>
      <c r="BN28" s="324"/>
      <c r="BO28" s="325"/>
      <c r="BP28" s="325"/>
      <c r="BQ28" s="325"/>
      <c r="BR28" s="325"/>
      <c r="BS28" s="325"/>
      <c r="BT28" s="325"/>
      <c r="BU28" s="325"/>
      <c r="BV28" s="325"/>
      <c r="BW28" s="324"/>
      <c r="BX28" s="325"/>
      <c r="BY28" s="325"/>
      <c r="BZ28" s="325"/>
      <c r="CA28" s="325"/>
      <c r="CB28" s="325"/>
      <c r="CC28" s="325"/>
      <c r="CD28" s="325"/>
      <c r="CE28" s="505"/>
      <c r="CF28" s="324"/>
      <c r="CG28" s="325"/>
      <c r="CH28" s="325"/>
      <c r="CI28" s="325"/>
      <c r="CJ28" s="325"/>
      <c r="CK28" s="325"/>
      <c r="CL28" s="325"/>
      <c r="CM28" s="325"/>
      <c r="CN28" s="325"/>
      <c r="CO28" s="324"/>
      <c r="CP28" s="325"/>
      <c r="CQ28" s="325"/>
      <c r="CR28" s="325"/>
      <c r="CS28" s="325"/>
      <c r="CT28" s="325"/>
      <c r="CU28" s="325"/>
      <c r="CV28" s="325"/>
      <c r="CW28" s="505"/>
      <c r="CX28" s="324"/>
      <c r="CY28" s="325"/>
      <c r="CZ28" s="325"/>
      <c r="DA28" s="325"/>
      <c r="DB28" s="325"/>
      <c r="DC28" s="325"/>
      <c r="DD28" s="325"/>
      <c r="DE28" s="325"/>
      <c r="DF28" s="325"/>
      <c r="DG28" s="324"/>
      <c r="DH28" s="325"/>
      <c r="DI28" s="325"/>
      <c r="DJ28" s="325"/>
      <c r="DK28" s="325"/>
      <c r="DL28" s="325"/>
      <c r="DM28" s="325"/>
      <c r="DN28" s="325"/>
    </row>
    <row r="29" spans="1:119" x14ac:dyDescent="0.5">
      <c r="C29" s="333"/>
      <c r="D29" s="333"/>
      <c r="E29" s="333"/>
      <c r="F29" s="333"/>
      <c r="G29" s="333"/>
      <c r="H29" s="333"/>
      <c r="I29" s="333"/>
      <c r="J29" s="333"/>
      <c r="K29" s="506"/>
      <c r="L29" s="333"/>
      <c r="M29" s="333"/>
      <c r="N29" s="333"/>
      <c r="O29" s="333"/>
      <c r="P29" s="333"/>
      <c r="Q29" s="333"/>
      <c r="R29" s="333"/>
      <c r="S29" s="333"/>
      <c r="T29" s="333"/>
      <c r="U29" s="333"/>
      <c r="V29" s="333"/>
      <c r="W29" s="333"/>
      <c r="X29" s="333"/>
      <c r="Y29" s="333"/>
      <c r="Z29" s="333"/>
      <c r="AA29" s="333"/>
      <c r="AB29" s="333"/>
      <c r="AC29" s="506"/>
      <c r="AD29" s="333"/>
      <c r="AE29" s="333"/>
      <c r="AF29" s="333"/>
      <c r="AG29" s="333"/>
      <c r="AH29" s="333"/>
      <c r="AI29" s="333"/>
      <c r="AJ29" s="333"/>
      <c r="AK29" s="333"/>
      <c r="AL29" s="333"/>
      <c r="AM29" s="333"/>
      <c r="AN29" s="333"/>
      <c r="AO29" s="333"/>
      <c r="AP29" s="333"/>
      <c r="AQ29" s="333"/>
      <c r="AR29" s="333"/>
      <c r="AS29" s="333"/>
      <c r="AT29" s="333"/>
      <c r="AU29" s="506"/>
      <c r="AV29" s="333"/>
      <c r="AW29" s="333"/>
      <c r="AX29" s="333"/>
      <c r="AY29" s="333"/>
      <c r="AZ29" s="333"/>
      <c r="BA29" s="333"/>
      <c r="BB29" s="333"/>
      <c r="BC29" s="333"/>
      <c r="BD29" s="333"/>
      <c r="BE29" s="333"/>
      <c r="BF29" s="333"/>
      <c r="BG29" s="333"/>
      <c r="BH29" s="333"/>
      <c r="BI29" s="333"/>
      <c r="BJ29" s="333"/>
      <c r="BK29" s="333"/>
      <c r="BL29" s="333"/>
      <c r="BM29" s="506"/>
      <c r="BN29" s="333"/>
      <c r="BO29" s="333"/>
      <c r="BP29" s="333"/>
      <c r="BQ29" s="333"/>
      <c r="BR29" s="333"/>
      <c r="BS29" s="333"/>
      <c r="BT29" s="333"/>
      <c r="BU29" s="333"/>
      <c r="BV29" s="333"/>
      <c r="BW29" s="333"/>
      <c r="BX29" s="333"/>
      <c r="BY29" s="333"/>
      <c r="BZ29" s="333"/>
      <c r="CA29" s="333"/>
      <c r="CB29" s="333"/>
      <c r="CC29" s="333"/>
      <c r="CD29" s="333"/>
      <c r="CE29" s="506"/>
      <c r="CF29" s="333"/>
      <c r="CG29" s="333"/>
      <c r="CH29" s="333"/>
      <c r="CI29" s="333"/>
      <c r="CJ29" s="333"/>
      <c r="CK29" s="333"/>
      <c r="CL29" s="333"/>
      <c r="CM29" s="333"/>
      <c r="CN29" s="333"/>
      <c r="CO29" s="333"/>
      <c r="CP29" s="333"/>
      <c r="CQ29" s="333"/>
      <c r="CR29" s="333"/>
      <c r="CS29" s="333"/>
      <c r="CT29" s="333"/>
      <c r="CU29" s="333"/>
      <c r="CV29" s="333"/>
      <c r="CW29" s="506"/>
      <c r="CX29" s="333"/>
      <c r="CY29" s="333"/>
      <c r="CZ29" s="333"/>
      <c r="DA29" s="333"/>
      <c r="DB29" s="333"/>
      <c r="DC29" s="333"/>
      <c r="DD29" s="333"/>
      <c r="DE29" s="333"/>
      <c r="DF29" s="333"/>
      <c r="DG29" s="333"/>
      <c r="DH29" s="333"/>
      <c r="DI29" s="333"/>
      <c r="DJ29" s="333"/>
      <c r="DK29" s="333"/>
      <c r="DL29" s="333"/>
      <c r="DM29" s="333"/>
      <c r="DN29" s="333"/>
    </row>
    <row r="30" spans="1:119" x14ac:dyDescent="0.5">
      <c r="C30" s="373"/>
      <c r="D30" s="373"/>
      <c r="E30" s="373"/>
      <c r="F30" s="373"/>
      <c r="G30" s="373"/>
      <c r="H30" s="373"/>
      <c r="I30" s="373"/>
      <c r="J30" s="373"/>
      <c r="K30" s="507"/>
      <c r="L30" s="373"/>
      <c r="M30" s="373"/>
      <c r="N30" s="373"/>
      <c r="O30" s="373"/>
      <c r="P30" s="373"/>
      <c r="Q30" s="373"/>
      <c r="R30" s="373"/>
      <c r="S30" s="373"/>
      <c r="T30" s="373"/>
      <c r="U30" s="373"/>
      <c r="V30" s="373"/>
      <c r="W30" s="373"/>
      <c r="X30" s="373"/>
      <c r="Y30" s="373"/>
      <c r="Z30" s="373"/>
      <c r="AA30" s="373"/>
      <c r="AB30" s="373"/>
      <c r="AC30" s="507"/>
      <c r="AD30" s="373"/>
      <c r="AE30" s="373"/>
      <c r="AF30" s="373"/>
      <c r="AG30" s="373"/>
      <c r="AH30" s="373"/>
      <c r="AI30" s="373"/>
      <c r="AJ30" s="373"/>
      <c r="AK30" s="373"/>
      <c r="AL30" s="373"/>
      <c r="AM30" s="373"/>
      <c r="AN30" s="373"/>
      <c r="AO30" s="373"/>
      <c r="AP30" s="373"/>
      <c r="AQ30" s="373"/>
      <c r="AR30" s="373"/>
      <c r="AS30" s="373"/>
      <c r="AT30" s="373"/>
      <c r="AU30" s="507"/>
      <c r="AV30" s="373"/>
      <c r="AW30" s="373"/>
      <c r="AX30" s="373"/>
      <c r="AY30" s="373"/>
      <c r="AZ30" s="373"/>
      <c r="BA30" s="373"/>
      <c r="BB30" s="373"/>
      <c r="BC30" s="373"/>
      <c r="BD30" s="373"/>
      <c r="BE30" s="373"/>
      <c r="BF30" s="373"/>
      <c r="BG30" s="373"/>
      <c r="BH30" s="373"/>
      <c r="BI30" s="373"/>
      <c r="BJ30" s="373"/>
      <c r="BK30" s="373"/>
      <c r="BL30" s="373"/>
      <c r="BM30" s="507"/>
      <c r="BN30" s="373"/>
      <c r="BO30" s="373"/>
      <c r="BP30" s="373"/>
      <c r="BQ30" s="373"/>
      <c r="BR30" s="373"/>
      <c r="BS30" s="373"/>
      <c r="BT30" s="373"/>
      <c r="BU30" s="373"/>
      <c r="BV30" s="373"/>
      <c r="BW30" s="373"/>
      <c r="BX30" s="373"/>
      <c r="BY30" s="373"/>
      <c r="BZ30" s="373"/>
      <c r="CA30" s="373"/>
      <c r="CB30" s="373"/>
      <c r="CC30" s="373"/>
      <c r="CD30" s="373"/>
      <c r="CE30" s="507"/>
      <c r="CF30" s="373"/>
      <c r="CG30" s="373"/>
      <c r="CH30" s="373"/>
      <c r="CI30" s="373"/>
      <c r="CJ30" s="373"/>
      <c r="CK30" s="373"/>
      <c r="CL30" s="373"/>
      <c r="CM30" s="373"/>
      <c r="CN30" s="373"/>
      <c r="CO30" s="373"/>
      <c r="CP30" s="373"/>
      <c r="CQ30" s="373"/>
      <c r="CR30" s="373"/>
      <c r="CS30" s="373"/>
      <c r="CT30" s="373"/>
      <c r="CU30" s="373"/>
      <c r="CV30" s="373"/>
      <c r="CW30" s="507"/>
      <c r="CX30" s="373"/>
      <c r="CY30" s="373"/>
      <c r="CZ30" s="373"/>
      <c r="DA30" s="373"/>
      <c r="DB30" s="373"/>
      <c r="DC30" s="373"/>
      <c r="DD30" s="373"/>
      <c r="DE30" s="373"/>
      <c r="DF30" s="373"/>
      <c r="DG30" s="373"/>
      <c r="DH30" s="373"/>
      <c r="DI30" s="373"/>
      <c r="DJ30" s="373"/>
      <c r="DK30" s="373"/>
      <c r="DL30" s="373"/>
      <c r="DM30" s="373"/>
      <c r="DN30" s="373"/>
    </row>
    <row r="31" spans="1:119" x14ac:dyDescent="0.5">
      <c r="D31" s="324"/>
      <c r="E31" s="324"/>
      <c r="F31" s="324"/>
      <c r="G31" s="324"/>
      <c r="H31" s="324"/>
      <c r="I31" s="324"/>
      <c r="J31" s="324"/>
      <c r="K31" s="508"/>
      <c r="M31" s="324"/>
      <c r="N31" s="324"/>
      <c r="O31" s="324"/>
      <c r="P31" s="324"/>
      <c r="Q31" s="324"/>
      <c r="R31" s="324"/>
      <c r="S31" s="324"/>
      <c r="T31" s="324"/>
      <c r="V31" s="324"/>
      <c r="W31" s="324"/>
      <c r="X31" s="324"/>
      <c r="Y31" s="324"/>
      <c r="Z31" s="324"/>
      <c r="AA31" s="324"/>
      <c r="AB31" s="324"/>
      <c r="AC31" s="508"/>
      <c r="AE31" s="324"/>
      <c r="AF31" s="324"/>
      <c r="AG31" s="324"/>
      <c r="AH31" s="324"/>
      <c r="AI31" s="324"/>
      <c r="AJ31" s="324"/>
      <c r="AK31" s="324"/>
      <c r="AL31" s="324"/>
      <c r="AN31" s="324"/>
      <c r="AO31" s="324"/>
      <c r="AP31" s="324"/>
      <c r="AQ31" s="324"/>
      <c r="AR31" s="324"/>
      <c r="AS31" s="324"/>
      <c r="AT31" s="324"/>
      <c r="AU31" s="508"/>
      <c r="AW31" s="324"/>
      <c r="AX31" s="324"/>
      <c r="AY31" s="324"/>
      <c r="AZ31" s="324"/>
      <c r="BA31" s="324"/>
      <c r="BB31" s="324"/>
      <c r="BC31" s="324"/>
      <c r="BD31" s="324"/>
      <c r="BF31" s="324"/>
      <c r="BG31" s="324"/>
      <c r="BH31" s="324"/>
      <c r="BI31" s="324"/>
      <c r="BJ31" s="324"/>
      <c r="BK31" s="324"/>
      <c r="BL31" s="324"/>
      <c r="BM31" s="508"/>
      <c r="BO31" s="324"/>
      <c r="BP31" s="324"/>
      <c r="BQ31" s="324"/>
      <c r="BR31" s="324"/>
      <c r="BS31" s="324"/>
      <c r="BT31" s="324"/>
      <c r="BU31" s="324"/>
      <c r="BV31" s="324"/>
      <c r="BX31" s="324"/>
      <c r="BY31" s="324"/>
      <c r="BZ31" s="324"/>
      <c r="CA31" s="324"/>
      <c r="CB31" s="324"/>
      <c r="CC31" s="324"/>
      <c r="CD31" s="324"/>
      <c r="CE31" s="508"/>
      <c r="CG31" s="324"/>
      <c r="CH31" s="324"/>
      <c r="CI31" s="324"/>
      <c r="CJ31" s="324"/>
      <c r="CK31" s="324"/>
      <c r="CL31" s="324"/>
      <c r="CM31" s="324"/>
      <c r="CN31" s="324"/>
      <c r="CP31" s="324"/>
      <c r="CQ31" s="324"/>
      <c r="CR31" s="324"/>
      <c r="CS31" s="324"/>
      <c r="CT31" s="324"/>
      <c r="CU31" s="324"/>
      <c r="CV31" s="324"/>
      <c r="CW31" s="508"/>
      <c r="CY31" s="324"/>
      <c r="CZ31" s="324"/>
      <c r="DA31" s="324"/>
      <c r="DB31" s="324"/>
      <c r="DC31" s="324"/>
      <c r="DD31" s="324"/>
      <c r="DE31" s="324"/>
      <c r="DF31" s="324"/>
      <c r="DH31" s="324"/>
      <c r="DI31" s="324"/>
      <c r="DJ31" s="324"/>
      <c r="DK31" s="324"/>
      <c r="DL31" s="324"/>
      <c r="DM31" s="324"/>
      <c r="DN31" s="324"/>
    </row>
    <row r="33" spans="4:118" x14ac:dyDescent="0.5">
      <c r="D33" s="324"/>
      <c r="E33" s="324"/>
      <c r="F33" s="324"/>
      <c r="G33" s="324"/>
      <c r="H33" s="324"/>
      <c r="I33" s="324"/>
      <c r="J33" s="324"/>
      <c r="K33" s="508"/>
      <c r="M33" s="324"/>
      <c r="N33" s="324"/>
      <c r="O33" s="324"/>
      <c r="P33" s="324"/>
      <c r="Q33" s="324"/>
      <c r="R33" s="324"/>
      <c r="S33" s="324"/>
      <c r="T33" s="324"/>
      <c r="V33" s="324"/>
      <c r="W33" s="324"/>
      <c r="X33" s="324"/>
      <c r="Y33" s="324"/>
      <c r="Z33" s="324"/>
      <c r="AA33" s="324"/>
      <c r="AB33" s="324"/>
      <c r="AC33" s="508"/>
      <c r="AE33" s="324"/>
      <c r="AF33" s="324"/>
      <c r="AG33" s="324"/>
      <c r="AH33" s="324"/>
      <c r="AI33" s="324"/>
      <c r="AJ33" s="324"/>
      <c r="AK33" s="324"/>
      <c r="AL33" s="324"/>
      <c r="AN33" s="324"/>
      <c r="AO33" s="324"/>
      <c r="AP33" s="324"/>
      <c r="AQ33" s="324"/>
      <c r="AR33" s="324"/>
      <c r="AS33" s="324"/>
      <c r="AT33" s="324"/>
      <c r="AU33" s="508"/>
      <c r="AW33" s="324"/>
      <c r="AX33" s="324"/>
      <c r="AY33" s="324"/>
      <c r="AZ33" s="324"/>
      <c r="BA33" s="324"/>
      <c r="BB33" s="324"/>
      <c r="BC33" s="324"/>
      <c r="BD33" s="324"/>
      <c r="BF33" s="324"/>
      <c r="BG33" s="324"/>
      <c r="BH33" s="324"/>
      <c r="BI33" s="324"/>
      <c r="BJ33" s="324"/>
      <c r="BK33" s="324"/>
      <c r="BL33" s="324"/>
      <c r="BM33" s="508"/>
      <c r="BO33" s="324"/>
      <c r="BP33" s="324"/>
      <c r="BQ33" s="324"/>
      <c r="BR33" s="324"/>
      <c r="BS33" s="324"/>
      <c r="BT33" s="324"/>
      <c r="BU33" s="324"/>
      <c r="BV33" s="324"/>
      <c r="BX33" s="324"/>
      <c r="BY33" s="324"/>
      <c r="BZ33" s="324"/>
      <c r="CA33" s="324"/>
      <c r="CB33" s="324"/>
      <c r="CC33" s="324"/>
      <c r="CD33" s="324"/>
      <c r="CE33" s="508"/>
      <c r="CG33" s="324"/>
      <c r="CH33" s="324"/>
      <c r="CI33" s="324"/>
      <c r="CJ33" s="324"/>
      <c r="CK33" s="324"/>
      <c r="CL33" s="324"/>
      <c r="CM33" s="324"/>
      <c r="CN33" s="324"/>
      <c r="CP33" s="324"/>
      <c r="CQ33" s="324"/>
      <c r="CR33" s="324"/>
      <c r="CS33" s="324"/>
      <c r="CT33" s="324"/>
      <c r="CU33" s="324"/>
      <c r="CV33" s="324"/>
      <c r="CW33" s="508"/>
      <c r="CY33" s="324"/>
      <c r="CZ33" s="324"/>
      <c r="DA33" s="324"/>
      <c r="DB33" s="324"/>
      <c r="DC33" s="324"/>
      <c r="DD33" s="324"/>
      <c r="DE33" s="324"/>
      <c r="DF33" s="324"/>
      <c r="DH33" s="324"/>
      <c r="DI33" s="324"/>
      <c r="DJ33" s="324"/>
      <c r="DK33" s="324"/>
      <c r="DL33" s="324"/>
      <c r="DM33" s="324"/>
      <c r="DN33" s="324"/>
    </row>
  </sheetData>
  <mergeCells count="93">
    <mergeCell ref="BO8:BP8"/>
    <mergeCell ref="BQ8:BS8"/>
    <mergeCell ref="BL7:BL9"/>
    <mergeCell ref="DJ8:DL8"/>
    <mergeCell ref="DM8:DM9"/>
    <mergeCell ref="CU8:CU9"/>
    <mergeCell ref="CY8:CZ8"/>
    <mergeCell ref="DA8:DC8"/>
    <mergeCell ref="DD8:DD9"/>
    <mergeCell ref="DH8:DI8"/>
    <mergeCell ref="DE7:DE9"/>
    <mergeCell ref="DG7:DG9"/>
    <mergeCell ref="DH7:DM7"/>
    <mergeCell ref="CY7:DD7"/>
    <mergeCell ref="CD7:CD9"/>
    <mergeCell ref="CF7:CF9"/>
    <mergeCell ref="DN7:DN9"/>
    <mergeCell ref="I8:I9"/>
    <mergeCell ref="M8:N8"/>
    <mergeCell ref="O8:Q8"/>
    <mergeCell ref="R8:R9"/>
    <mergeCell ref="V8:W8"/>
    <mergeCell ref="X8:Z8"/>
    <mergeCell ref="AA8:AA9"/>
    <mergeCell ref="AE8:AF8"/>
    <mergeCell ref="AG8:AI8"/>
    <mergeCell ref="AJ8:AJ9"/>
    <mergeCell ref="AN8:AO8"/>
    <mergeCell ref="AP8:AR8"/>
    <mergeCell ref="BN7:BN9"/>
    <mergeCell ref="BO7:BT7"/>
    <mergeCell ref="BX7:CC7"/>
    <mergeCell ref="BT8:BT9"/>
    <mergeCell ref="CC8:CC9"/>
    <mergeCell ref="CO6:CV6"/>
    <mergeCell ref="BN6:BU6"/>
    <mergeCell ref="BW6:CD6"/>
    <mergeCell ref="CF6:CM6"/>
    <mergeCell ref="BU7:BU9"/>
    <mergeCell ref="BW7:BW9"/>
    <mergeCell ref="BX8:BY8"/>
    <mergeCell ref="BZ8:CB8"/>
    <mergeCell ref="CM7:CM9"/>
    <mergeCell ref="CG7:CL7"/>
    <mergeCell ref="CG8:CH8"/>
    <mergeCell ref="CI8:CK8"/>
    <mergeCell ref="CL8:CL9"/>
    <mergeCell ref="CO7:CO9"/>
    <mergeCell ref="CX6:DE6"/>
    <mergeCell ref="DG6:DN6"/>
    <mergeCell ref="D7:I7"/>
    <mergeCell ref="J7:J9"/>
    <mergeCell ref="L7:L9"/>
    <mergeCell ref="M7:R7"/>
    <mergeCell ref="U7:U9"/>
    <mergeCell ref="V7:AA7"/>
    <mergeCell ref="AB7:AB9"/>
    <mergeCell ref="AD7:AD9"/>
    <mergeCell ref="AE7:AJ7"/>
    <mergeCell ref="AK7:AK9"/>
    <mergeCell ref="AM7:AM9"/>
    <mergeCell ref="AN7:AS7"/>
    <mergeCell ref="AT7:AT9"/>
    <mergeCell ref="L6:S6"/>
    <mergeCell ref="A6:A9"/>
    <mergeCell ref="B6:B9"/>
    <mergeCell ref="D8:E8"/>
    <mergeCell ref="F8:H8"/>
    <mergeCell ref="C6:J6"/>
    <mergeCell ref="C7:C9"/>
    <mergeCell ref="U6:AB6"/>
    <mergeCell ref="AD6:AK6"/>
    <mergeCell ref="AM6:AT6"/>
    <mergeCell ref="AV6:BC6"/>
    <mergeCell ref="BE6:BL6"/>
    <mergeCell ref="S7:S9"/>
    <mergeCell ref="BE7:BE9"/>
    <mergeCell ref="AW7:BB7"/>
    <mergeCell ref="BC7:BC9"/>
    <mergeCell ref="BF7:BK7"/>
    <mergeCell ref="AW8:AX8"/>
    <mergeCell ref="AY8:BA8"/>
    <mergeCell ref="BB8:BB9"/>
    <mergeCell ref="AV7:AV9"/>
    <mergeCell ref="AS8:AS9"/>
    <mergeCell ref="BF8:BG8"/>
    <mergeCell ref="BH8:BJ8"/>
    <mergeCell ref="BK8:BK9"/>
    <mergeCell ref="CP7:CU7"/>
    <mergeCell ref="CV7:CV9"/>
    <mergeCell ref="CX7:CX9"/>
    <mergeCell ref="CP8:CQ8"/>
    <mergeCell ref="CR8:CT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5"/>
  <sheetViews>
    <sheetView topLeftCell="A46" workbookViewId="0">
      <selection activeCell="A3" sqref="A3:I3"/>
    </sheetView>
  </sheetViews>
  <sheetFormatPr defaultRowHeight="21" x14ac:dyDescent="0.45"/>
  <cols>
    <col min="1" max="1" width="8.375" style="2" customWidth="1"/>
    <col min="2" max="2" width="12.375" style="2" customWidth="1"/>
    <col min="3" max="3" width="12.625" style="2" customWidth="1"/>
    <col min="4" max="4" width="11.25" style="3" customWidth="1"/>
    <col min="5" max="5" width="56.375" style="3" customWidth="1"/>
    <col min="6" max="6" width="10.5" style="3" bestFit="1" customWidth="1"/>
    <col min="7" max="7" width="10.375" style="3" bestFit="1" customWidth="1"/>
    <col min="8" max="8" width="9.375" style="1" bestFit="1" customWidth="1"/>
    <col min="9" max="9" width="8.625" style="1" bestFit="1" customWidth="1"/>
    <col min="10" max="10" width="9.75" style="1" customWidth="1"/>
    <col min="11" max="11" width="17.25" style="1" customWidth="1"/>
    <col min="12" max="12" width="13.5" style="1" customWidth="1"/>
    <col min="13" max="13" width="10" style="1" customWidth="1"/>
    <col min="14" max="15" width="9.5" style="1" customWidth="1"/>
    <col min="16" max="16" width="11.25" style="1" customWidth="1"/>
    <col min="17" max="17" width="106.5" style="1" customWidth="1"/>
    <col min="18" max="16384" width="9" style="1"/>
  </cols>
  <sheetData>
    <row r="1" spans="1:16" x14ac:dyDescent="0.45">
      <c r="A1" s="791" t="s">
        <v>0</v>
      </c>
      <c r="B1" s="791"/>
      <c r="C1" s="791"/>
      <c r="D1" s="791"/>
      <c r="E1" s="791"/>
      <c r="F1" s="791"/>
      <c r="G1" s="791"/>
      <c r="H1" s="791"/>
      <c r="I1" s="791"/>
      <c r="J1" s="205"/>
      <c r="K1" s="205"/>
      <c r="L1" s="205"/>
      <c r="M1" s="205"/>
      <c r="N1" s="205"/>
      <c r="O1" s="205"/>
      <c r="P1" s="205"/>
    </row>
    <row r="2" spans="1:16" s="177" customFormat="1" x14ac:dyDescent="0.2">
      <c r="A2" s="794" t="s">
        <v>1</v>
      </c>
      <c r="B2" s="794" t="s">
        <v>2</v>
      </c>
      <c r="C2" s="794" t="s">
        <v>789</v>
      </c>
      <c r="D2" s="792" t="s">
        <v>3</v>
      </c>
      <c r="E2" s="792" t="s">
        <v>90</v>
      </c>
      <c r="F2" s="792" t="s">
        <v>4</v>
      </c>
      <c r="G2" s="793" t="s">
        <v>5</v>
      </c>
      <c r="H2" s="793"/>
      <c r="I2" s="793"/>
    </row>
    <row r="3" spans="1:16" s="177" customFormat="1" x14ac:dyDescent="0.2">
      <c r="A3" s="794"/>
      <c r="B3" s="794"/>
      <c r="C3" s="794"/>
      <c r="D3" s="792"/>
      <c r="E3" s="792"/>
      <c r="F3" s="792"/>
      <c r="G3" s="178" t="s">
        <v>8</v>
      </c>
      <c r="H3" s="178" t="s">
        <v>9</v>
      </c>
      <c r="I3" s="178" t="s">
        <v>3</v>
      </c>
    </row>
    <row r="4" spans="1:16" s="174" customFormat="1" x14ac:dyDescent="0.2">
      <c r="A4" s="179">
        <v>240606</v>
      </c>
      <c r="B4" s="180" t="s">
        <v>12</v>
      </c>
      <c r="C4" s="181" t="s">
        <v>846</v>
      </c>
      <c r="D4" s="186" t="s">
        <v>13</v>
      </c>
      <c r="E4" s="182" t="s">
        <v>14</v>
      </c>
      <c r="F4" s="186">
        <v>100000</v>
      </c>
      <c r="G4" s="186"/>
      <c r="H4" s="186">
        <v>50000</v>
      </c>
      <c r="I4" s="186">
        <v>50000</v>
      </c>
    </row>
    <row r="5" spans="1:16" s="174" customFormat="1" x14ac:dyDescent="0.2">
      <c r="A5" s="179">
        <v>240612</v>
      </c>
      <c r="B5" s="180" t="s">
        <v>15</v>
      </c>
      <c r="C5" s="181" t="s">
        <v>847</v>
      </c>
      <c r="D5" s="186" t="s">
        <v>16</v>
      </c>
      <c r="E5" s="182" t="s">
        <v>17</v>
      </c>
      <c r="F5" s="186">
        <f>466200+25900+25900</f>
        <v>518000</v>
      </c>
      <c r="G5" s="187">
        <f>+F5*90/100</f>
        <v>466200</v>
      </c>
      <c r="H5" s="187">
        <f t="shared" ref="H5:H11" si="0">+F5*0.05</f>
        <v>25900</v>
      </c>
      <c r="I5" s="187">
        <f t="shared" ref="I5:I11" si="1">+F5*0.05</f>
        <v>25900</v>
      </c>
    </row>
    <row r="6" spans="1:16" s="174" customFormat="1" x14ac:dyDescent="0.2">
      <c r="A6" s="179">
        <v>240618</v>
      </c>
      <c r="B6" s="180" t="s">
        <v>18</v>
      </c>
      <c r="C6" s="181" t="s">
        <v>848</v>
      </c>
      <c r="D6" s="186" t="s">
        <v>19</v>
      </c>
      <c r="E6" s="182" t="s">
        <v>20</v>
      </c>
      <c r="F6" s="186">
        <f>8756.25+26268.75</f>
        <v>35025</v>
      </c>
      <c r="G6" s="187">
        <v>0</v>
      </c>
      <c r="H6" s="187">
        <v>8756.25</v>
      </c>
      <c r="I6" s="187">
        <v>26268.75</v>
      </c>
    </row>
    <row r="7" spans="1:16" s="188" customFormat="1" x14ac:dyDescent="0.2">
      <c r="A7" s="179">
        <v>240624</v>
      </c>
      <c r="B7" s="180" t="s">
        <v>21</v>
      </c>
      <c r="C7" s="181" t="s">
        <v>849</v>
      </c>
      <c r="D7" s="186" t="s">
        <v>22</v>
      </c>
      <c r="E7" s="182" t="s">
        <v>23</v>
      </c>
      <c r="F7" s="186">
        <f>58212+3234+3234</f>
        <v>64680</v>
      </c>
      <c r="G7" s="187">
        <f>+F7*90/100</f>
        <v>58212</v>
      </c>
      <c r="H7" s="187">
        <f t="shared" si="0"/>
        <v>3234</v>
      </c>
      <c r="I7" s="187">
        <f t="shared" si="1"/>
        <v>3234</v>
      </c>
    </row>
    <row r="8" spans="1:16" s="188" customFormat="1" x14ac:dyDescent="0.2">
      <c r="A8" s="179">
        <v>240648</v>
      </c>
      <c r="B8" s="180" t="s">
        <v>24</v>
      </c>
      <c r="C8" s="181" t="s">
        <v>850</v>
      </c>
      <c r="D8" s="186" t="s">
        <v>16</v>
      </c>
      <c r="E8" s="182" t="s">
        <v>17</v>
      </c>
      <c r="F8" s="186">
        <f>942300+52350+52350</f>
        <v>1047000</v>
      </c>
      <c r="G8" s="187">
        <f>+F8*90/100</f>
        <v>942300</v>
      </c>
      <c r="H8" s="187">
        <f t="shared" si="0"/>
        <v>52350</v>
      </c>
      <c r="I8" s="187">
        <f t="shared" si="1"/>
        <v>52350</v>
      </c>
    </row>
    <row r="9" spans="1:16" s="188" customFormat="1" x14ac:dyDescent="0.2">
      <c r="A9" s="179">
        <v>240654</v>
      </c>
      <c r="B9" s="180" t="s">
        <v>25</v>
      </c>
      <c r="C9" s="181" t="s">
        <v>851</v>
      </c>
      <c r="D9" s="186" t="s">
        <v>16</v>
      </c>
      <c r="E9" s="182" t="s">
        <v>17</v>
      </c>
      <c r="F9" s="186">
        <f>539550+29975+29975</f>
        <v>599500</v>
      </c>
      <c r="G9" s="187">
        <f>+F9*90/100</f>
        <v>539550</v>
      </c>
      <c r="H9" s="187">
        <f t="shared" si="0"/>
        <v>29975</v>
      </c>
      <c r="I9" s="187">
        <f t="shared" si="1"/>
        <v>29975</v>
      </c>
    </row>
    <row r="10" spans="1:16" s="188" customFormat="1" x14ac:dyDescent="0.2">
      <c r="A10" s="179">
        <v>240665</v>
      </c>
      <c r="B10" s="180" t="s">
        <v>26</v>
      </c>
      <c r="C10" s="181" t="s">
        <v>852</v>
      </c>
      <c r="D10" s="186" t="s">
        <v>16</v>
      </c>
      <c r="E10" s="182" t="s">
        <v>17</v>
      </c>
      <c r="F10" s="186">
        <f>453600+25200+25200</f>
        <v>504000</v>
      </c>
      <c r="G10" s="187">
        <f>+F10*90/100</f>
        <v>453600</v>
      </c>
      <c r="H10" s="187">
        <f t="shared" si="0"/>
        <v>25200</v>
      </c>
      <c r="I10" s="187">
        <f t="shared" si="1"/>
        <v>25200</v>
      </c>
    </row>
    <row r="11" spans="1:16" s="188" customFormat="1" x14ac:dyDescent="0.2">
      <c r="A11" s="179">
        <v>240687</v>
      </c>
      <c r="B11" s="180" t="s">
        <v>27</v>
      </c>
      <c r="C11" s="181" t="s">
        <v>853</v>
      </c>
      <c r="D11" s="186" t="s">
        <v>16</v>
      </c>
      <c r="E11" s="182" t="s">
        <v>17</v>
      </c>
      <c r="F11" s="186">
        <f>190350+10575+10575</f>
        <v>211500</v>
      </c>
      <c r="G11" s="187">
        <f>+F11*90/100</f>
        <v>190350</v>
      </c>
      <c r="H11" s="187">
        <f t="shared" si="0"/>
        <v>10575</v>
      </c>
      <c r="I11" s="187">
        <f t="shared" si="1"/>
        <v>10575</v>
      </c>
    </row>
    <row r="12" spans="1:16" s="188" customFormat="1" x14ac:dyDescent="0.2">
      <c r="A12" s="179">
        <v>240690</v>
      </c>
      <c r="B12" s="180" t="s">
        <v>28</v>
      </c>
      <c r="C12" s="181" t="s">
        <v>854</v>
      </c>
      <c r="D12" s="186" t="s">
        <v>22</v>
      </c>
      <c r="E12" s="182" t="s">
        <v>29</v>
      </c>
      <c r="F12" s="186">
        <f>139720+15000+15000</f>
        <v>169720</v>
      </c>
      <c r="G12" s="187">
        <v>139720</v>
      </c>
      <c r="H12" s="187">
        <v>15000</v>
      </c>
      <c r="I12" s="187">
        <v>15000</v>
      </c>
    </row>
    <row r="13" spans="1:16" s="188" customFormat="1" ht="42" x14ac:dyDescent="0.2">
      <c r="A13" s="179">
        <v>240694</v>
      </c>
      <c r="B13" s="180" t="s">
        <v>30</v>
      </c>
      <c r="C13" s="181" t="s">
        <v>855</v>
      </c>
      <c r="D13" s="186" t="s">
        <v>22</v>
      </c>
      <c r="E13" s="182" t="s">
        <v>31</v>
      </c>
      <c r="F13" s="186">
        <v>62200</v>
      </c>
      <c r="G13" s="187">
        <f>+F13</f>
        <v>62200</v>
      </c>
      <c r="H13" s="187">
        <v>0</v>
      </c>
      <c r="I13" s="187">
        <v>0</v>
      </c>
    </row>
    <row r="14" spans="1:16" s="188" customFormat="1" x14ac:dyDescent="0.2">
      <c r="A14" s="179">
        <v>240695</v>
      </c>
      <c r="B14" s="180" t="s">
        <v>32</v>
      </c>
      <c r="C14" s="181" t="s">
        <v>856</v>
      </c>
      <c r="D14" s="186" t="s">
        <v>33</v>
      </c>
      <c r="E14" s="182" t="s">
        <v>34</v>
      </c>
      <c r="F14" s="186">
        <f>494700+26250+26250</f>
        <v>547200</v>
      </c>
      <c r="G14" s="187">
        <v>494700</v>
      </c>
      <c r="H14" s="187">
        <v>26250</v>
      </c>
      <c r="I14" s="187">
        <v>26250</v>
      </c>
    </row>
    <row r="15" spans="1:16" s="188" customFormat="1" x14ac:dyDescent="0.2">
      <c r="A15" s="179">
        <v>240722</v>
      </c>
      <c r="B15" s="180" t="s">
        <v>35</v>
      </c>
      <c r="C15" s="181" t="s">
        <v>857</v>
      </c>
      <c r="D15" s="186" t="s">
        <v>36</v>
      </c>
      <c r="E15" s="182" t="s">
        <v>34</v>
      </c>
      <c r="F15" s="186">
        <v>0</v>
      </c>
      <c r="G15" s="187">
        <f>492480-G14</f>
        <v>-2220</v>
      </c>
      <c r="H15" s="187">
        <f>27360-H14</f>
        <v>1110</v>
      </c>
      <c r="I15" s="187">
        <f>27360-I14</f>
        <v>1110</v>
      </c>
    </row>
    <row r="16" spans="1:16" s="188" customFormat="1" ht="42" x14ac:dyDescent="0.2">
      <c r="A16" s="179">
        <v>240701</v>
      </c>
      <c r="B16" s="180" t="s">
        <v>37</v>
      </c>
      <c r="C16" s="181" t="s">
        <v>858</v>
      </c>
      <c r="D16" s="186" t="s">
        <v>19</v>
      </c>
      <c r="E16" s="182" t="s">
        <v>38</v>
      </c>
      <c r="F16" s="186">
        <v>15792.5</v>
      </c>
      <c r="G16" s="187">
        <v>0</v>
      </c>
      <c r="H16" s="187">
        <f>+F16</f>
        <v>15792.5</v>
      </c>
      <c r="I16" s="187">
        <v>0</v>
      </c>
    </row>
    <row r="17" spans="1:9" s="188" customFormat="1" x14ac:dyDescent="0.2">
      <c r="A17" s="179">
        <v>240707</v>
      </c>
      <c r="B17" s="180" t="s">
        <v>39</v>
      </c>
      <c r="C17" s="181" t="s">
        <v>859</v>
      </c>
      <c r="D17" s="186" t="s">
        <v>16</v>
      </c>
      <c r="E17" s="182" t="s">
        <v>17</v>
      </c>
      <c r="F17" s="186">
        <f>211500+11750+11750</f>
        <v>235000</v>
      </c>
      <c r="G17" s="187">
        <f t="shared" ref="G17:G25" si="2">+F17*90/100</f>
        <v>211500</v>
      </c>
      <c r="H17" s="187">
        <f t="shared" ref="H17:H25" si="3">+F17*0.05</f>
        <v>11750</v>
      </c>
      <c r="I17" s="187">
        <f t="shared" ref="I17:I25" si="4">+F17*0.05</f>
        <v>11750</v>
      </c>
    </row>
    <row r="18" spans="1:9" s="188" customFormat="1" ht="42" x14ac:dyDescent="0.2">
      <c r="A18" s="179">
        <v>240717</v>
      </c>
      <c r="B18" s="180" t="s">
        <v>40</v>
      </c>
      <c r="C18" s="181" t="s">
        <v>860</v>
      </c>
      <c r="D18" s="180" t="s">
        <v>19</v>
      </c>
      <c r="E18" s="182" t="s">
        <v>41</v>
      </c>
      <c r="F18" s="187">
        <v>45000</v>
      </c>
      <c r="G18" s="187">
        <f t="shared" si="2"/>
        <v>40500</v>
      </c>
      <c r="H18" s="187">
        <f t="shared" si="3"/>
        <v>2250</v>
      </c>
      <c r="I18" s="187">
        <f t="shared" si="4"/>
        <v>2250</v>
      </c>
    </row>
    <row r="19" spans="1:9" s="188" customFormat="1" x14ac:dyDescent="0.2">
      <c r="A19" s="179">
        <v>240721</v>
      </c>
      <c r="B19" s="180" t="s">
        <v>42</v>
      </c>
      <c r="C19" s="181" t="s">
        <v>861</v>
      </c>
      <c r="D19" s="186" t="s">
        <v>16</v>
      </c>
      <c r="E19" s="182" t="s">
        <v>17</v>
      </c>
      <c r="F19" s="187">
        <v>185000</v>
      </c>
      <c r="G19" s="187">
        <f t="shared" si="2"/>
        <v>166500</v>
      </c>
      <c r="H19" s="187">
        <f t="shared" si="3"/>
        <v>9250</v>
      </c>
      <c r="I19" s="187">
        <f t="shared" si="4"/>
        <v>9250</v>
      </c>
    </row>
    <row r="20" spans="1:9" s="188" customFormat="1" ht="84" x14ac:dyDescent="0.2">
      <c r="A20" s="179">
        <v>240744</v>
      </c>
      <c r="B20" s="180" t="s">
        <v>43</v>
      </c>
      <c r="C20" s="181" t="s">
        <v>862</v>
      </c>
      <c r="D20" s="180" t="s">
        <v>19</v>
      </c>
      <c r="E20" s="189" t="s">
        <v>44</v>
      </c>
      <c r="F20" s="187">
        <v>163875</v>
      </c>
      <c r="G20" s="187">
        <f t="shared" si="2"/>
        <v>147487.5</v>
      </c>
      <c r="H20" s="187">
        <f t="shared" si="3"/>
        <v>8193.75</v>
      </c>
      <c r="I20" s="187">
        <f t="shared" si="4"/>
        <v>8193.75</v>
      </c>
    </row>
    <row r="21" spans="1:9" s="188" customFormat="1" ht="84" x14ac:dyDescent="0.2">
      <c r="A21" s="179">
        <v>240764</v>
      </c>
      <c r="B21" s="180" t="s">
        <v>45</v>
      </c>
      <c r="C21" s="181" t="s">
        <v>863</v>
      </c>
      <c r="D21" s="186" t="s">
        <v>22</v>
      </c>
      <c r="E21" s="182" t="s">
        <v>46</v>
      </c>
      <c r="F21" s="187">
        <v>27720</v>
      </c>
      <c r="G21" s="187">
        <f t="shared" si="2"/>
        <v>24948</v>
      </c>
      <c r="H21" s="187">
        <f t="shared" si="3"/>
        <v>1386</v>
      </c>
      <c r="I21" s="187">
        <f t="shared" si="4"/>
        <v>1386</v>
      </c>
    </row>
    <row r="22" spans="1:9" s="188" customFormat="1" x14ac:dyDescent="0.2">
      <c r="A22" s="179">
        <v>240779</v>
      </c>
      <c r="B22" s="180" t="s">
        <v>47</v>
      </c>
      <c r="C22" s="181" t="s">
        <v>864</v>
      </c>
      <c r="D22" s="186" t="s">
        <v>16</v>
      </c>
      <c r="E22" s="182" t="s">
        <v>17</v>
      </c>
      <c r="F22" s="187">
        <v>1500</v>
      </c>
      <c r="G22" s="187">
        <f t="shared" si="2"/>
        <v>1350</v>
      </c>
      <c r="H22" s="187">
        <f t="shared" si="3"/>
        <v>75</v>
      </c>
      <c r="I22" s="187">
        <f t="shared" si="4"/>
        <v>75</v>
      </c>
    </row>
    <row r="23" spans="1:9" s="188" customFormat="1" ht="42" x14ac:dyDescent="0.2">
      <c r="A23" s="179">
        <v>240783</v>
      </c>
      <c r="B23" s="180" t="s">
        <v>48</v>
      </c>
      <c r="C23" s="181" t="s">
        <v>865</v>
      </c>
      <c r="D23" s="180" t="s">
        <v>19</v>
      </c>
      <c r="E23" s="182" t="s">
        <v>49</v>
      </c>
      <c r="F23" s="187">
        <v>1750000</v>
      </c>
      <c r="G23" s="187">
        <f t="shared" si="2"/>
        <v>1575000</v>
      </c>
      <c r="H23" s="187">
        <f t="shared" si="3"/>
        <v>87500</v>
      </c>
      <c r="I23" s="187">
        <f t="shared" si="4"/>
        <v>87500</v>
      </c>
    </row>
    <row r="24" spans="1:9" s="188" customFormat="1" ht="84" x14ac:dyDescent="0.2">
      <c r="A24" s="179">
        <v>240790</v>
      </c>
      <c r="B24" s="180" t="s">
        <v>50</v>
      </c>
      <c r="C24" s="181" t="s">
        <v>866</v>
      </c>
      <c r="D24" s="180" t="s">
        <v>51</v>
      </c>
      <c r="E24" s="189" t="s">
        <v>52</v>
      </c>
      <c r="F24" s="187">
        <v>90000</v>
      </c>
      <c r="G24" s="187">
        <f t="shared" si="2"/>
        <v>81000</v>
      </c>
      <c r="H24" s="187">
        <f t="shared" si="3"/>
        <v>4500</v>
      </c>
      <c r="I24" s="187">
        <f t="shared" si="4"/>
        <v>4500</v>
      </c>
    </row>
    <row r="25" spans="1:9" s="188" customFormat="1" ht="84" x14ac:dyDescent="0.2">
      <c r="A25" s="179">
        <v>240790</v>
      </c>
      <c r="B25" s="180" t="s">
        <v>53</v>
      </c>
      <c r="C25" s="181" t="s">
        <v>867</v>
      </c>
      <c r="D25" s="180" t="s">
        <v>51</v>
      </c>
      <c r="E25" s="189" t="s">
        <v>54</v>
      </c>
      <c r="F25" s="187">
        <v>240000</v>
      </c>
      <c r="G25" s="187">
        <f t="shared" si="2"/>
        <v>216000</v>
      </c>
      <c r="H25" s="187">
        <f t="shared" si="3"/>
        <v>12000</v>
      </c>
      <c r="I25" s="187">
        <f t="shared" si="4"/>
        <v>12000</v>
      </c>
    </row>
    <row r="26" spans="1:9" s="188" customFormat="1" ht="84" x14ac:dyDescent="0.2">
      <c r="A26" s="179">
        <v>240820</v>
      </c>
      <c r="B26" s="180" t="s">
        <v>55</v>
      </c>
      <c r="C26" s="181" t="s">
        <v>868</v>
      </c>
      <c r="D26" s="186" t="s">
        <v>22</v>
      </c>
      <c r="E26" s="189" t="s">
        <v>56</v>
      </c>
      <c r="F26" s="187">
        <v>141000</v>
      </c>
      <c r="G26" s="187">
        <v>111000</v>
      </c>
      <c r="H26" s="187">
        <v>15000</v>
      </c>
      <c r="I26" s="187">
        <v>15000</v>
      </c>
    </row>
    <row r="27" spans="1:9" s="188" customFormat="1" ht="84" x14ac:dyDescent="0.2">
      <c r="A27" s="179">
        <v>240828</v>
      </c>
      <c r="B27" s="180" t="s">
        <v>57</v>
      </c>
      <c r="C27" s="181" t="s">
        <v>869</v>
      </c>
      <c r="D27" s="186" t="s">
        <v>22</v>
      </c>
      <c r="E27" s="189" t="s">
        <v>58</v>
      </c>
      <c r="F27" s="187">
        <v>141680</v>
      </c>
      <c r="G27" s="187">
        <f>+F27*90/100</f>
        <v>127512</v>
      </c>
      <c r="H27" s="187">
        <f>+F27*0.05</f>
        <v>7084</v>
      </c>
      <c r="I27" s="187">
        <f>+F27*0.05</f>
        <v>7084</v>
      </c>
    </row>
    <row r="28" spans="1:9" s="188" customFormat="1" ht="84" x14ac:dyDescent="0.2">
      <c r="A28" s="179">
        <v>240834</v>
      </c>
      <c r="B28" s="180" t="s">
        <v>59</v>
      </c>
      <c r="C28" s="181" t="s">
        <v>870</v>
      </c>
      <c r="D28" s="186" t="s">
        <v>33</v>
      </c>
      <c r="E28" s="189" t="s">
        <v>60</v>
      </c>
      <c r="F28" s="187">
        <v>1276800</v>
      </c>
      <c r="G28" s="187">
        <v>1226520</v>
      </c>
      <c r="H28" s="187">
        <v>25140</v>
      </c>
      <c r="I28" s="187">
        <v>25140</v>
      </c>
    </row>
    <row r="29" spans="1:9" s="188" customFormat="1" ht="63" x14ac:dyDescent="0.2">
      <c r="A29" s="179">
        <v>240850</v>
      </c>
      <c r="B29" s="180" t="s">
        <v>61</v>
      </c>
      <c r="C29" s="181" t="s">
        <v>871</v>
      </c>
      <c r="D29" s="186" t="s">
        <v>22</v>
      </c>
      <c r="E29" s="189" t="s">
        <v>62</v>
      </c>
      <c r="F29" s="187">
        <v>80000</v>
      </c>
      <c r="G29" s="187">
        <f>+F29*100/100</f>
        <v>80000</v>
      </c>
      <c r="H29" s="187">
        <v>0</v>
      </c>
      <c r="I29" s="187">
        <v>0</v>
      </c>
    </row>
    <row r="30" spans="1:9" s="188" customFormat="1" ht="63" x14ac:dyDescent="0.2">
      <c r="A30" s="179">
        <v>240850</v>
      </c>
      <c r="B30" s="180" t="s">
        <v>61</v>
      </c>
      <c r="C30" s="181" t="s">
        <v>871</v>
      </c>
      <c r="D30" s="186" t="s">
        <v>63</v>
      </c>
      <c r="E30" s="189" t="s">
        <v>62</v>
      </c>
      <c r="F30" s="187">
        <v>70000</v>
      </c>
      <c r="G30" s="187">
        <f>+F30*100/100</f>
        <v>70000</v>
      </c>
      <c r="H30" s="187">
        <v>0</v>
      </c>
      <c r="I30" s="187">
        <v>0</v>
      </c>
    </row>
    <row r="31" spans="1:9" s="188" customFormat="1" ht="63" x14ac:dyDescent="0.2">
      <c r="A31" s="179">
        <v>240863</v>
      </c>
      <c r="B31" s="180" t="s">
        <v>64</v>
      </c>
      <c r="C31" s="181" t="s">
        <v>872</v>
      </c>
      <c r="D31" s="186" t="s">
        <v>33</v>
      </c>
      <c r="E31" s="189" t="s">
        <v>65</v>
      </c>
      <c r="F31" s="187">
        <v>348000</v>
      </c>
      <c r="G31" s="187">
        <f>+F31*90/100</f>
        <v>313200</v>
      </c>
      <c r="H31" s="187">
        <f>+F31*0.05</f>
        <v>17400</v>
      </c>
      <c r="I31" s="187">
        <f>+F31*0.05</f>
        <v>17400</v>
      </c>
    </row>
    <row r="32" spans="1:9" s="188" customFormat="1" ht="84" x14ac:dyDescent="0.2">
      <c r="A32" s="179">
        <v>240874</v>
      </c>
      <c r="B32" s="180" t="s">
        <v>66</v>
      </c>
      <c r="C32" s="181" t="s">
        <v>873</v>
      </c>
      <c r="D32" s="186" t="s">
        <v>19</v>
      </c>
      <c r="E32" s="189" t="s">
        <v>67</v>
      </c>
      <c r="F32" s="187">
        <v>280000</v>
      </c>
      <c r="G32" s="187">
        <f>+F32*90/100</f>
        <v>252000</v>
      </c>
      <c r="H32" s="187">
        <f>+F32*0.05</f>
        <v>14000</v>
      </c>
      <c r="I32" s="187">
        <f>+F32*0.05</f>
        <v>14000</v>
      </c>
    </row>
    <row r="33" spans="1:9" s="188" customFormat="1" ht="84" x14ac:dyDescent="0.2">
      <c r="A33" s="179">
        <v>240906</v>
      </c>
      <c r="B33" s="180" t="s">
        <v>68</v>
      </c>
      <c r="C33" s="181" t="s">
        <v>874</v>
      </c>
      <c r="D33" s="186" t="s">
        <v>19</v>
      </c>
      <c r="E33" s="189" t="s">
        <v>69</v>
      </c>
      <c r="F33" s="187">
        <f>345000+172500</f>
        <v>517500</v>
      </c>
      <c r="G33" s="187">
        <f>+F33*90/100</f>
        <v>465750</v>
      </c>
      <c r="H33" s="187">
        <f>+F33*0.05</f>
        <v>25875</v>
      </c>
      <c r="I33" s="187">
        <f>+F33*0.05</f>
        <v>25875</v>
      </c>
    </row>
    <row r="34" spans="1:9" s="188" customFormat="1" ht="84" x14ac:dyDescent="0.2">
      <c r="A34" s="179">
        <v>240906</v>
      </c>
      <c r="B34" s="180" t="s">
        <v>70</v>
      </c>
      <c r="C34" s="181" t="s">
        <v>875</v>
      </c>
      <c r="D34" s="186" t="s">
        <v>33</v>
      </c>
      <c r="E34" s="189" t="s">
        <v>71</v>
      </c>
      <c r="F34" s="187">
        <v>76400</v>
      </c>
      <c r="G34" s="187">
        <v>0</v>
      </c>
      <c r="H34" s="187">
        <f>+F34</f>
        <v>76400</v>
      </c>
      <c r="I34" s="187">
        <v>0</v>
      </c>
    </row>
    <row r="35" spans="1:9" s="188" customFormat="1" ht="84" x14ac:dyDescent="0.2">
      <c r="A35" s="179">
        <v>240910</v>
      </c>
      <c r="B35" s="180" t="s">
        <v>72</v>
      </c>
      <c r="C35" s="190" t="s">
        <v>876</v>
      </c>
      <c r="D35" s="186" t="s">
        <v>16</v>
      </c>
      <c r="E35" s="189" t="s">
        <v>73</v>
      </c>
      <c r="F35" s="187">
        <v>25000</v>
      </c>
      <c r="G35" s="187">
        <f>+F35*90/100</f>
        <v>22500</v>
      </c>
      <c r="H35" s="187">
        <f>+F35*0.05</f>
        <v>1250</v>
      </c>
      <c r="I35" s="187">
        <f>+F35*0.05</f>
        <v>1250</v>
      </c>
    </row>
    <row r="36" spans="1:9" s="188" customFormat="1" ht="84" x14ac:dyDescent="0.2">
      <c r="A36" s="179">
        <v>240932</v>
      </c>
      <c r="B36" s="180" t="s">
        <v>74</v>
      </c>
      <c r="C36" s="190" t="s">
        <v>877</v>
      </c>
      <c r="D36" s="186" t="s">
        <v>33</v>
      </c>
      <c r="E36" s="189" t="s">
        <v>75</v>
      </c>
      <c r="F36" s="187">
        <v>96000</v>
      </c>
      <c r="G36" s="187">
        <f>+F36</f>
        <v>96000</v>
      </c>
      <c r="H36" s="187">
        <v>0</v>
      </c>
      <c r="I36" s="187">
        <v>0</v>
      </c>
    </row>
    <row r="37" spans="1:9" s="188" customFormat="1" ht="84" x14ac:dyDescent="0.2">
      <c r="A37" s="179">
        <v>240946</v>
      </c>
      <c r="B37" s="180" t="s">
        <v>76</v>
      </c>
      <c r="C37" s="190" t="s">
        <v>878</v>
      </c>
      <c r="D37" s="191" t="s">
        <v>77</v>
      </c>
      <c r="E37" s="189" t="s">
        <v>78</v>
      </c>
      <c r="F37" s="187">
        <v>57000</v>
      </c>
      <c r="G37" s="187">
        <f>+F37*50/100</f>
        <v>28500</v>
      </c>
      <c r="H37" s="187">
        <f>+F37*0</f>
        <v>0</v>
      </c>
      <c r="I37" s="187">
        <f>+F37*50/100</f>
        <v>28500</v>
      </c>
    </row>
    <row r="38" spans="1:9" s="188" customFormat="1" ht="84" x14ac:dyDescent="0.2">
      <c r="A38" s="179">
        <v>240947</v>
      </c>
      <c r="B38" s="180" t="s">
        <v>79</v>
      </c>
      <c r="C38" s="190" t="s">
        <v>879</v>
      </c>
      <c r="D38" s="186" t="s">
        <v>16</v>
      </c>
      <c r="E38" s="182" t="s">
        <v>80</v>
      </c>
      <c r="F38" s="187">
        <v>20000</v>
      </c>
      <c r="G38" s="187">
        <f t="shared" ref="G38:G45" si="5">+F38*90/100</f>
        <v>18000</v>
      </c>
      <c r="H38" s="187">
        <f t="shared" ref="H38:H45" si="6">+F38*0.05</f>
        <v>1000</v>
      </c>
      <c r="I38" s="187">
        <f t="shared" ref="I38:I45" si="7">+F38*0.05</f>
        <v>1000</v>
      </c>
    </row>
    <row r="39" spans="1:9" s="188" customFormat="1" ht="84" x14ac:dyDescent="0.2">
      <c r="A39" s="192" t="s">
        <v>880</v>
      </c>
      <c r="B39" s="180"/>
      <c r="C39" s="190" t="s">
        <v>881</v>
      </c>
      <c r="D39" s="180"/>
      <c r="E39" s="193" t="s">
        <v>882</v>
      </c>
      <c r="F39" s="187">
        <v>4987.5</v>
      </c>
      <c r="G39" s="194">
        <f t="shared" si="5"/>
        <v>4488.75</v>
      </c>
      <c r="H39" s="194">
        <f t="shared" si="6"/>
        <v>249.375</v>
      </c>
      <c r="I39" s="194">
        <f t="shared" si="7"/>
        <v>249.375</v>
      </c>
    </row>
    <row r="40" spans="1:9" s="188" customFormat="1" ht="84" x14ac:dyDescent="0.2">
      <c r="A40" s="192" t="s">
        <v>883</v>
      </c>
      <c r="B40" s="180"/>
      <c r="C40" s="190" t="s">
        <v>884</v>
      </c>
      <c r="D40" s="180"/>
      <c r="E40" s="193" t="s">
        <v>81</v>
      </c>
      <c r="F40" s="187">
        <v>191420.25</v>
      </c>
      <c r="G40" s="194">
        <f t="shared" si="5"/>
        <v>172278.22500000001</v>
      </c>
      <c r="H40" s="194">
        <f t="shared" si="6"/>
        <v>9571.0125000000007</v>
      </c>
      <c r="I40" s="194">
        <f t="shared" si="7"/>
        <v>9571.0125000000007</v>
      </c>
    </row>
    <row r="41" spans="1:9" s="188" customFormat="1" ht="84" x14ac:dyDescent="0.2">
      <c r="A41" s="192" t="s">
        <v>885</v>
      </c>
      <c r="B41" s="180"/>
      <c r="C41" s="190" t="s">
        <v>886</v>
      </c>
      <c r="D41" s="180"/>
      <c r="E41" s="193" t="s">
        <v>82</v>
      </c>
      <c r="F41" s="187">
        <v>42750</v>
      </c>
      <c r="G41" s="194">
        <f t="shared" si="5"/>
        <v>38475</v>
      </c>
      <c r="H41" s="194">
        <f t="shared" si="6"/>
        <v>2137.5</v>
      </c>
      <c r="I41" s="194">
        <f t="shared" si="7"/>
        <v>2137.5</v>
      </c>
    </row>
    <row r="42" spans="1:9" s="188" customFormat="1" ht="63" x14ac:dyDescent="0.2">
      <c r="A42" s="192" t="s">
        <v>885</v>
      </c>
      <c r="B42" s="180"/>
      <c r="C42" s="190" t="s">
        <v>887</v>
      </c>
      <c r="D42" s="180"/>
      <c r="E42" s="193" t="s">
        <v>83</v>
      </c>
      <c r="F42" s="187">
        <v>95000</v>
      </c>
      <c r="G42" s="194">
        <f t="shared" si="5"/>
        <v>85500</v>
      </c>
      <c r="H42" s="194">
        <f t="shared" si="6"/>
        <v>4750</v>
      </c>
      <c r="I42" s="194">
        <f t="shared" si="7"/>
        <v>4750</v>
      </c>
    </row>
    <row r="43" spans="1:9" s="188" customFormat="1" ht="84" x14ac:dyDescent="0.2">
      <c r="A43" s="192" t="s">
        <v>885</v>
      </c>
      <c r="B43" s="180"/>
      <c r="C43" s="190" t="s">
        <v>888</v>
      </c>
      <c r="D43" s="180"/>
      <c r="E43" s="193" t="s">
        <v>84</v>
      </c>
      <c r="F43" s="187">
        <v>54150</v>
      </c>
      <c r="G43" s="194">
        <f t="shared" si="5"/>
        <v>48735</v>
      </c>
      <c r="H43" s="194">
        <f t="shared" si="6"/>
        <v>2707.5</v>
      </c>
      <c r="I43" s="194">
        <f t="shared" si="7"/>
        <v>2707.5</v>
      </c>
    </row>
    <row r="44" spans="1:9" s="188" customFormat="1" ht="84" x14ac:dyDescent="0.2">
      <c r="A44" s="192" t="s">
        <v>889</v>
      </c>
      <c r="B44" s="180"/>
      <c r="C44" s="190" t="s">
        <v>890</v>
      </c>
      <c r="D44" s="180"/>
      <c r="E44" s="193" t="s">
        <v>891</v>
      </c>
      <c r="F44" s="187">
        <v>280000</v>
      </c>
      <c r="G44" s="194">
        <f t="shared" si="5"/>
        <v>252000</v>
      </c>
      <c r="H44" s="194">
        <f t="shared" si="6"/>
        <v>14000</v>
      </c>
      <c r="I44" s="194">
        <f t="shared" si="7"/>
        <v>14000</v>
      </c>
    </row>
    <row r="45" spans="1:9" s="188" customFormat="1" x14ac:dyDescent="0.2">
      <c r="A45" s="180"/>
      <c r="B45" s="180"/>
      <c r="C45" s="180"/>
      <c r="D45" s="180"/>
      <c r="E45" s="195"/>
      <c r="F45" s="187"/>
      <c r="G45" s="187">
        <f t="shared" si="5"/>
        <v>0</v>
      </c>
      <c r="H45" s="187">
        <f t="shared" si="6"/>
        <v>0</v>
      </c>
      <c r="I45" s="187">
        <f t="shared" si="7"/>
        <v>0</v>
      </c>
    </row>
    <row r="46" spans="1:9" s="188" customFormat="1" ht="21.75" thickBot="1" x14ac:dyDescent="0.25">
      <c r="A46" s="196"/>
      <c r="B46" s="196"/>
      <c r="C46" s="196"/>
      <c r="D46" s="196"/>
      <c r="E46" s="197"/>
      <c r="F46" s="198">
        <f>SUM(F4:F45)</f>
        <v>10410400.25</v>
      </c>
      <c r="G46" s="198">
        <f>SUM(G4:G45)</f>
        <v>9221356.4749999996</v>
      </c>
      <c r="H46" s="198">
        <f>SUM(H4:H45)</f>
        <v>617611.88749999995</v>
      </c>
      <c r="I46" s="198">
        <f>SUM(I4:I45)</f>
        <v>571431.88749999995</v>
      </c>
    </row>
    <row r="47" spans="1:9" s="188" customFormat="1" ht="21.75" thickTop="1" x14ac:dyDescent="0.2">
      <c r="A47" s="174"/>
      <c r="B47" s="174"/>
      <c r="C47" s="174"/>
      <c r="D47" s="174"/>
      <c r="E47" s="199"/>
      <c r="F47" s="200"/>
      <c r="G47" s="200"/>
      <c r="H47" s="200"/>
      <c r="I47" s="200">
        <f>+F46-G46-H46-I46</f>
        <v>0</v>
      </c>
    </row>
    <row r="48" spans="1:9" s="188" customFormat="1" x14ac:dyDescent="0.2">
      <c r="A48" s="174"/>
      <c r="B48" s="174"/>
      <c r="C48" s="174"/>
      <c r="D48" s="174"/>
      <c r="E48" s="199"/>
      <c r="F48" s="200"/>
      <c r="G48" s="200"/>
      <c r="H48" s="200"/>
      <c r="I48" s="200"/>
    </row>
    <row r="49" spans="1:9" s="188" customFormat="1" x14ac:dyDescent="0.2">
      <c r="A49" s="174"/>
      <c r="B49" s="201" t="s">
        <v>85</v>
      </c>
      <c r="C49" s="188" t="s">
        <v>86</v>
      </c>
      <c r="E49" s="202"/>
      <c r="F49" s="200"/>
      <c r="G49" s="200"/>
      <c r="H49" s="200"/>
      <c r="I49" s="200"/>
    </row>
    <row r="50" spans="1:9" s="188" customFormat="1" x14ac:dyDescent="0.2">
      <c r="A50" s="174"/>
      <c r="B50" s="201" t="s">
        <v>3</v>
      </c>
      <c r="C50" s="188" t="s">
        <v>87</v>
      </c>
      <c r="E50" s="202"/>
      <c r="F50" s="200"/>
      <c r="G50" s="200"/>
      <c r="H50" s="200"/>
      <c r="I50" s="200"/>
    </row>
    <row r="51" spans="1:9" s="188" customFormat="1" x14ac:dyDescent="0.2">
      <c r="A51" s="174"/>
      <c r="B51" s="201" t="s">
        <v>88</v>
      </c>
      <c r="C51" s="188" t="s">
        <v>89</v>
      </c>
      <c r="E51" s="202"/>
      <c r="F51" s="200"/>
      <c r="G51" s="200"/>
      <c r="H51" s="200"/>
      <c r="I51" s="200"/>
    </row>
    <row r="52" spans="1:9" s="188" customFormat="1" x14ac:dyDescent="0.2">
      <c r="A52" s="174"/>
      <c r="B52" s="201" t="s">
        <v>90</v>
      </c>
      <c r="C52" s="188" t="s">
        <v>91</v>
      </c>
      <c r="E52" s="202"/>
      <c r="F52" s="200"/>
      <c r="G52" s="200"/>
      <c r="H52" s="200"/>
      <c r="I52" s="200"/>
    </row>
    <row r="53" spans="1:9" s="177" customFormat="1" x14ac:dyDescent="0.2">
      <c r="A53" s="174"/>
      <c r="B53" s="201" t="s">
        <v>92</v>
      </c>
      <c r="C53" s="203" t="s">
        <v>93</v>
      </c>
      <c r="E53" s="204"/>
      <c r="F53" s="200"/>
      <c r="G53" s="200"/>
      <c r="H53" s="200"/>
      <c r="I53" s="200"/>
    </row>
    <row r="54" spans="1:9" customFormat="1" ht="14.25" x14ac:dyDescent="0.2"/>
    <row r="55" spans="1:9" customFormat="1" ht="14.25" x14ac:dyDescent="0.2"/>
  </sheetData>
  <mergeCells count="8">
    <mergeCell ref="A1:I1"/>
    <mergeCell ref="E2:E3"/>
    <mergeCell ref="F2:F3"/>
    <mergeCell ref="G2:I2"/>
    <mergeCell ref="A2:A3"/>
    <mergeCell ref="B2:B3"/>
    <mergeCell ref="C2:C3"/>
    <mergeCell ref="D2:D3"/>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workbookViewId="0">
      <selection activeCell="E6" sqref="E6"/>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5" t="s">
        <v>1622</v>
      </c>
      <c r="B1" s="795"/>
      <c r="C1" s="795"/>
      <c r="D1" s="795"/>
      <c r="E1" s="795"/>
      <c r="F1" s="795"/>
      <c r="G1" s="795"/>
      <c r="H1" s="795"/>
      <c r="I1" s="795"/>
    </row>
    <row r="2" spans="1:9" s="174" customFormat="1" x14ac:dyDescent="0.2">
      <c r="A2" s="175"/>
      <c r="B2" s="175"/>
      <c r="C2" s="175"/>
      <c r="D2" s="175"/>
      <c r="E2" s="176"/>
      <c r="F2" s="175"/>
      <c r="G2" s="175"/>
      <c r="H2" s="175"/>
      <c r="I2" s="175"/>
    </row>
    <row r="3" spans="1:9" s="177" customFormat="1" x14ac:dyDescent="0.2">
      <c r="A3" s="794" t="s">
        <v>1</v>
      </c>
      <c r="B3" s="794" t="s">
        <v>2</v>
      </c>
      <c r="C3" s="794" t="s">
        <v>789</v>
      </c>
      <c r="D3" s="792" t="s">
        <v>3</v>
      </c>
      <c r="E3" s="792" t="s">
        <v>90</v>
      </c>
      <c r="F3" s="792" t="s">
        <v>4</v>
      </c>
      <c r="G3" s="793" t="s">
        <v>5</v>
      </c>
      <c r="H3" s="793"/>
      <c r="I3" s="793"/>
    </row>
    <row r="4" spans="1:9" s="177" customFormat="1" x14ac:dyDescent="0.2">
      <c r="A4" s="794"/>
      <c r="B4" s="794"/>
      <c r="C4" s="794"/>
      <c r="D4" s="792"/>
      <c r="E4" s="792"/>
      <c r="F4" s="792"/>
      <c r="G4" s="178" t="s">
        <v>8</v>
      </c>
      <c r="H4" s="178" t="s">
        <v>9</v>
      </c>
      <c r="I4" s="178" t="s">
        <v>3</v>
      </c>
    </row>
    <row r="5" spans="1:9" s="174" customFormat="1" ht="105" x14ac:dyDescent="0.2">
      <c r="A5" s="179">
        <v>240255</v>
      </c>
      <c r="B5" s="180" t="s">
        <v>803</v>
      </c>
      <c r="C5" s="181" t="s">
        <v>804</v>
      </c>
      <c r="D5" s="180" t="s">
        <v>792</v>
      </c>
      <c r="E5" s="182" t="s">
        <v>805</v>
      </c>
      <c r="F5" s="183">
        <f>25000+24000+25000+23000+10000+10000+25000+25000+25000+25000+25000+25000+25000+10000+25000+25000+25000+25000+10000+10000+25000+25000+25000+25000+15000+25000+10000+25000+15000+25000+25000+25000+25000+25000+10000</f>
        <v>747000</v>
      </c>
      <c r="G5" s="183">
        <f t="shared" ref="G5:G6" si="0">+F5*90/100</f>
        <v>672300</v>
      </c>
      <c r="H5" s="183">
        <f t="shared" ref="H5:H6" si="1">+F5*5/100</f>
        <v>37350</v>
      </c>
      <c r="I5" s="183">
        <f t="shared" ref="I5:I6" si="2">+F5*5/100</f>
        <v>37350</v>
      </c>
    </row>
    <row r="6" spans="1:9" s="174" customFormat="1" ht="84" x14ac:dyDescent="0.2">
      <c r="A6" s="179">
        <v>240290</v>
      </c>
      <c r="B6" s="180" t="s">
        <v>806</v>
      </c>
      <c r="C6" s="181" t="s">
        <v>807</v>
      </c>
      <c r="D6" s="180" t="s">
        <v>792</v>
      </c>
      <c r="E6" s="182" t="s">
        <v>808</v>
      </c>
      <c r="F6" s="183">
        <v>25000</v>
      </c>
      <c r="G6" s="183">
        <f t="shared" si="0"/>
        <v>22500</v>
      </c>
      <c r="H6" s="183">
        <f t="shared" si="1"/>
        <v>1250</v>
      </c>
      <c r="I6" s="183">
        <f t="shared" si="2"/>
        <v>1250</v>
      </c>
    </row>
    <row r="7" spans="1:9" s="174" customFormat="1" ht="84" x14ac:dyDescent="0.2">
      <c r="A7" s="179">
        <v>240303</v>
      </c>
      <c r="B7" s="180" t="s">
        <v>809</v>
      </c>
      <c r="C7" s="181" t="s">
        <v>810</v>
      </c>
      <c r="D7" s="180" t="s">
        <v>811</v>
      </c>
      <c r="E7" s="182" t="s">
        <v>812</v>
      </c>
      <c r="F7" s="183">
        <v>350000</v>
      </c>
      <c r="G7" s="183">
        <f>+F7*1</f>
        <v>350000</v>
      </c>
      <c r="H7" s="183">
        <v>0</v>
      </c>
      <c r="I7" s="183">
        <v>0</v>
      </c>
    </row>
    <row r="8" spans="1:9" s="174" customFormat="1" ht="63" x14ac:dyDescent="0.2">
      <c r="A8" s="179">
        <v>240344</v>
      </c>
      <c r="B8" s="180" t="s">
        <v>813</v>
      </c>
      <c r="C8" s="181" t="s">
        <v>814</v>
      </c>
      <c r="D8" s="180" t="s">
        <v>22</v>
      </c>
      <c r="E8" s="182" t="s">
        <v>815</v>
      </c>
      <c r="F8" s="183">
        <v>175800</v>
      </c>
      <c r="G8" s="183">
        <v>145800</v>
      </c>
      <c r="H8" s="183">
        <v>15000</v>
      </c>
      <c r="I8" s="183">
        <v>15000</v>
      </c>
    </row>
    <row r="9" spans="1:9" s="174" customFormat="1" ht="84" x14ac:dyDescent="0.2">
      <c r="A9" s="179">
        <v>240364</v>
      </c>
      <c r="B9" s="180" t="s">
        <v>816</v>
      </c>
      <c r="C9" s="181" t="s">
        <v>817</v>
      </c>
      <c r="D9" s="180" t="s">
        <v>22</v>
      </c>
      <c r="E9" s="182" t="s">
        <v>818</v>
      </c>
      <c r="F9" s="183">
        <v>50000</v>
      </c>
      <c r="G9" s="183">
        <f>+F9</f>
        <v>50000</v>
      </c>
      <c r="H9" s="183">
        <v>0</v>
      </c>
      <c r="I9" s="183">
        <v>0</v>
      </c>
    </row>
    <row r="10" spans="1:9" s="174" customFormat="1" ht="84" x14ac:dyDescent="0.2">
      <c r="A10" s="179">
        <v>240424</v>
      </c>
      <c r="B10" s="180" t="s">
        <v>819</v>
      </c>
      <c r="C10" s="181" t="s">
        <v>820</v>
      </c>
      <c r="D10" s="180" t="s">
        <v>792</v>
      </c>
      <c r="E10" s="182" t="s">
        <v>821</v>
      </c>
      <c r="F10" s="183">
        <v>15000</v>
      </c>
      <c r="G10" s="183">
        <f>+F10*90/100</f>
        <v>13500</v>
      </c>
      <c r="H10" s="183">
        <f>+F10*5/100</f>
        <v>750</v>
      </c>
      <c r="I10" s="183">
        <f>+F10*5/100</f>
        <v>750</v>
      </c>
    </row>
    <row r="11" spans="1:9" s="174" customFormat="1" ht="84" x14ac:dyDescent="0.2">
      <c r="A11" s="179">
        <v>240409</v>
      </c>
      <c r="B11" s="180" t="s">
        <v>822</v>
      </c>
      <c r="C11" s="181" t="s">
        <v>823</v>
      </c>
      <c r="D11" s="180" t="s">
        <v>22</v>
      </c>
      <c r="E11" s="182" t="s">
        <v>824</v>
      </c>
      <c r="F11" s="183">
        <v>523608</v>
      </c>
      <c r="G11" s="183">
        <v>0</v>
      </c>
      <c r="H11" s="183">
        <f>+F11*25/100</f>
        <v>130902</v>
      </c>
      <c r="I11" s="183">
        <f>+F11*75/100</f>
        <v>392706</v>
      </c>
    </row>
    <row r="12" spans="1:9" s="174" customFormat="1" ht="105" x14ac:dyDescent="0.2">
      <c r="A12" s="179">
        <v>240484</v>
      </c>
      <c r="B12" s="180" t="s">
        <v>825</v>
      </c>
      <c r="C12" s="181" t="s">
        <v>826</v>
      </c>
      <c r="D12" s="180" t="s">
        <v>22</v>
      </c>
      <c r="E12" s="182" t="s">
        <v>827</v>
      </c>
      <c r="F12" s="183">
        <v>2400000</v>
      </c>
      <c r="G12" s="183">
        <f t="shared" ref="G12:G18" si="3">+F12*90/100</f>
        <v>2160000</v>
      </c>
      <c r="H12" s="183">
        <f>+F12*10/100-120000</f>
        <v>120000</v>
      </c>
      <c r="I12" s="183">
        <v>120000</v>
      </c>
    </row>
    <row r="13" spans="1:9" s="174" customFormat="1" ht="84" x14ac:dyDescent="0.2">
      <c r="A13" s="179">
        <v>240493</v>
      </c>
      <c r="B13" s="180" t="s">
        <v>822</v>
      </c>
      <c r="C13" s="181" t="s">
        <v>828</v>
      </c>
      <c r="D13" s="180" t="s">
        <v>19</v>
      </c>
      <c r="E13" s="182" t="s">
        <v>829</v>
      </c>
      <c r="F13" s="183">
        <v>42750</v>
      </c>
      <c r="G13" s="183">
        <f t="shared" si="3"/>
        <v>38475</v>
      </c>
      <c r="H13" s="183">
        <f t="shared" ref="H13:H18" si="4">+F13*5/100</f>
        <v>2137.5</v>
      </c>
      <c r="I13" s="183">
        <f t="shared" ref="I13:I18" si="5">+F13*5/100</f>
        <v>2137.5</v>
      </c>
    </row>
    <row r="14" spans="1:9" s="174" customFormat="1" ht="63" x14ac:dyDescent="0.2">
      <c r="A14" s="179">
        <v>240589</v>
      </c>
      <c r="B14" s="180" t="s">
        <v>830</v>
      </c>
      <c r="C14" s="181" t="s">
        <v>831</v>
      </c>
      <c r="D14" s="180" t="s">
        <v>792</v>
      </c>
      <c r="E14" s="182" t="s">
        <v>832</v>
      </c>
      <c r="F14" s="183">
        <v>100000</v>
      </c>
      <c r="G14" s="183">
        <f t="shared" si="3"/>
        <v>90000</v>
      </c>
      <c r="H14" s="183">
        <f t="shared" si="4"/>
        <v>5000</v>
      </c>
      <c r="I14" s="183">
        <f t="shared" si="5"/>
        <v>5000</v>
      </c>
    </row>
    <row r="15" spans="1:9" s="174" customFormat="1" ht="84" x14ac:dyDescent="0.2">
      <c r="A15" s="179">
        <v>240595</v>
      </c>
      <c r="B15" s="180" t="s">
        <v>833</v>
      </c>
      <c r="C15" s="181" t="s">
        <v>834</v>
      </c>
      <c r="D15" s="180" t="s">
        <v>792</v>
      </c>
      <c r="E15" s="182" t="s">
        <v>835</v>
      </c>
      <c r="F15" s="183">
        <v>10000</v>
      </c>
      <c r="G15" s="183">
        <f t="shared" si="3"/>
        <v>9000</v>
      </c>
      <c r="H15" s="183">
        <f t="shared" si="4"/>
        <v>500</v>
      </c>
      <c r="I15" s="183">
        <f t="shared" si="5"/>
        <v>500</v>
      </c>
    </row>
    <row r="16" spans="1:9" s="174" customFormat="1" ht="84" x14ac:dyDescent="0.2">
      <c r="A16" s="179">
        <v>240595</v>
      </c>
      <c r="B16" s="180" t="s">
        <v>836</v>
      </c>
      <c r="C16" s="181" t="s">
        <v>837</v>
      </c>
      <c r="D16" s="180" t="s">
        <v>792</v>
      </c>
      <c r="E16" s="182" t="s">
        <v>838</v>
      </c>
      <c r="F16" s="183">
        <v>105000</v>
      </c>
      <c r="G16" s="183">
        <f t="shared" si="3"/>
        <v>94500</v>
      </c>
      <c r="H16" s="183">
        <f t="shared" si="4"/>
        <v>5250</v>
      </c>
      <c r="I16" s="183">
        <f t="shared" si="5"/>
        <v>5250</v>
      </c>
    </row>
    <row r="17" spans="1:9" s="174" customFormat="1" ht="84" x14ac:dyDescent="0.2">
      <c r="A17" s="179">
        <v>240598</v>
      </c>
      <c r="B17" s="180" t="s">
        <v>839</v>
      </c>
      <c r="C17" s="181" t="s">
        <v>840</v>
      </c>
      <c r="D17" s="180" t="s">
        <v>19</v>
      </c>
      <c r="E17" s="182" t="s">
        <v>841</v>
      </c>
      <c r="F17" s="183">
        <v>57000</v>
      </c>
      <c r="G17" s="183">
        <f t="shared" si="3"/>
        <v>51300</v>
      </c>
      <c r="H17" s="183">
        <f t="shared" si="4"/>
        <v>2850</v>
      </c>
      <c r="I17" s="183">
        <f t="shared" si="5"/>
        <v>2850</v>
      </c>
    </row>
    <row r="18" spans="1:9" s="174" customFormat="1" ht="84" x14ac:dyDescent="0.2">
      <c r="A18" s="179">
        <v>240598</v>
      </c>
      <c r="B18" s="180" t="s">
        <v>842</v>
      </c>
      <c r="C18" s="184" t="s">
        <v>843</v>
      </c>
      <c r="D18" s="180" t="s">
        <v>844</v>
      </c>
      <c r="E18" s="185" t="s">
        <v>845</v>
      </c>
      <c r="F18" s="183">
        <v>210000</v>
      </c>
      <c r="G18" s="183">
        <f t="shared" si="3"/>
        <v>189000</v>
      </c>
      <c r="H18" s="183">
        <f t="shared" si="4"/>
        <v>10500</v>
      </c>
      <c r="I18" s="183">
        <f t="shared" si="5"/>
        <v>10500</v>
      </c>
    </row>
    <row r="19" spans="1:9" ht="21.75" thickBot="1" x14ac:dyDescent="0.25">
      <c r="A19" s="196"/>
      <c r="B19" s="196"/>
      <c r="C19" s="196"/>
      <c r="D19" s="196"/>
      <c r="E19" s="197"/>
      <c r="F19" s="198">
        <f>SUM(F5:F18)</f>
        <v>4811158</v>
      </c>
      <c r="G19" s="198">
        <f>SUM(G5:G18)</f>
        <v>3886375</v>
      </c>
      <c r="H19" s="198">
        <f>SUM(H5:H18)</f>
        <v>331489.5</v>
      </c>
      <c r="I19" s="198">
        <f>SUM(I5:I18)</f>
        <v>593293.5</v>
      </c>
    </row>
    <row r="20" spans="1:9" ht="21.75" thickTop="1" x14ac:dyDescent="0.2">
      <c r="I20" s="200">
        <f>+F19-G19-H19-I19</f>
        <v>0</v>
      </c>
    </row>
    <row r="22" spans="1:9" x14ac:dyDescent="0.2">
      <c r="B22" s="201" t="s">
        <v>85</v>
      </c>
      <c r="C22" s="188" t="s">
        <v>86</v>
      </c>
      <c r="D22" s="188"/>
      <c r="E22" s="202"/>
    </row>
    <row r="23" spans="1:9" x14ac:dyDescent="0.2">
      <c r="B23" s="201" t="s">
        <v>3</v>
      </c>
      <c r="C23" s="188" t="s">
        <v>87</v>
      </c>
      <c r="D23" s="188"/>
      <c r="E23" s="202"/>
    </row>
    <row r="24" spans="1:9" x14ac:dyDescent="0.2">
      <c r="B24" s="201" t="s">
        <v>88</v>
      </c>
      <c r="C24" s="188" t="s">
        <v>89</v>
      </c>
      <c r="D24" s="188"/>
      <c r="E24" s="202"/>
    </row>
    <row r="25" spans="1:9" x14ac:dyDescent="0.2">
      <c r="B25" s="201" t="s">
        <v>90</v>
      </c>
      <c r="C25" s="188" t="s">
        <v>91</v>
      </c>
      <c r="D25" s="188"/>
      <c r="E25" s="202"/>
    </row>
    <row r="26" spans="1:9" s="177" customFormat="1" x14ac:dyDescent="0.2">
      <c r="A26" s="174"/>
      <c r="B26" s="201" t="s">
        <v>92</v>
      </c>
      <c r="C26" s="203" t="s">
        <v>93</v>
      </c>
      <c r="E26" s="204"/>
      <c r="F26" s="200"/>
      <c r="G26" s="200"/>
      <c r="H26" s="200"/>
      <c r="I26" s="200"/>
    </row>
  </sheetData>
  <mergeCells count="8">
    <mergeCell ref="A1:I1"/>
    <mergeCell ref="A3:A4"/>
    <mergeCell ref="B3:B4"/>
    <mergeCell ref="C3:C4"/>
    <mergeCell ref="D3:D4"/>
    <mergeCell ref="E3:E4"/>
    <mergeCell ref="F3:F4"/>
    <mergeCell ref="G3:I3"/>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A3" sqref="A3:I3"/>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5" t="s">
        <v>788</v>
      </c>
      <c r="B1" s="795"/>
      <c r="C1" s="795"/>
      <c r="D1" s="795"/>
      <c r="E1" s="795"/>
      <c r="F1" s="795"/>
      <c r="G1" s="795"/>
      <c r="H1" s="795"/>
      <c r="I1" s="795"/>
    </row>
    <row r="2" spans="1:9" s="174" customFormat="1" x14ac:dyDescent="0.2">
      <c r="A2" s="175"/>
      <c r="B2" s="175"/>
      <c r="C2" s="175"/>
      <c r="D2" s="175"/>
      <c r="E2" s="176"/>
      <c r="F2" s="175"/>
      <c r="G2" s="175"/>
      <c r="H2" s="175"/>
      <c r="I2" s="175"/>
    </row>
    <row r="3" spans="1:9" s="177" customFormat="1" x14ac:dyDescent="0.2">
      <c r="A3" s="794" t="s">
        <v>1</v>
      </c>
      <c r="B3" s="794" t="s">
        <v>2</v>
      </c>
      <c r="C3" s="794" t="s">
        <v>789</v>
      </c>
      <c r="D3" s="792" t="s">
        <v>3</v>
      </c>
      <c r="E3" s="792" t="s">
        <v>90</v>
      </c>
      <c r="F3" s="792" t="s">
        <v>4</v>
      </c>
      <c r="G3" s="793" t="s">
        <v>5</v>
      </c>
      <c r="H3" s="793"/>
      <c r="I3" s="793"/>
    </row>
    <row r="4" spans="1:9" s="177" customFormat="1" x14ac:dyDescent="0.2">
      <c r="A4" s="794"/>
      <c r="B4" s="794"/>
      <c r="C4" s="794"/>
      <c r="D4" s="792"/>
      <c r="E4" s="792"/>
      <c r="F4" s="792"/>
      <c r="G4" s="178" t="s">
        <v>8</v>
      </c>
      <c r="H4" s="178" t="s">
        <v>9</v>
      </c>
      <c r="I4" s="178" t="s">
        <v>3</v>
      </c>
    </row>
    <row r="5" spans="1:9" s="174" customFormat="1" ht="126" x14ac:dyDescent="0.2">
      <c r="A5" s="179">
        <v>240231</v>
      </c>
      <c r="B5" s="180" t="s">
        <v>790</v>
      </c>
      <c r="C5" s="181" t="s">
        <v>791</v>
      </c>
      <c r="D5" s="180" t="s">
        <v>792</v>
      </c>
      <c r="E5" s="182" t="s">
        <v>793</v>
      </c>
      <c r="F5" s="183">
        <v>779000</v>
      </c>
      <c r="G5" s="183">
        <f t="shared" ref="G5:G8" si="0">+F5*90/100</f>
        <v>701100</v>
      </c>
      <c r="H5" s="183">
        <f t="shared" ref="H5:H8" si="1">+F5*5/100</f>
        <v>38950</v>
      </c>
      <c r="I5" s="183">
        <f t="shared" ref="I5:I8" si="2">+F5*5/100</f>
        <v>38950</v>
      </c>
    </row>
    <row r="6" spans="1:9" s="174" customFormat="1" ht="105" x14ac:dyDescent="0.2">
      <c r="A6" s="179">
        <v>240231</v>
      </c>
      <c r="B6" s="180" t="s">
        <v>794</v>
      </c>
      <c r="C6" s="181" t="s">
        <v>795</v>
      </c>
      <c r="D6" s="180" t="s">
        <v>792</v>
      </c>
      <c r="E6" s="182" t="s">
        <v>796</v>
      </c>
      <c r="F6" s="183">
        <v>150000</v>
      </c>
      <c r="G6" s="183">
        <f t="shared" si="0"/>
        <v>135000</v>
      </c>
      <c r="H6" s="183">
        <f t="shared" si="1"/>
        <v>7500</v>
      </c>
      <c r="I6" s="183">
        <f t="shared" si="2"/>
        <v>7500</v>
      </c>
    </row>
    <row r="7" spans="1:9" s="174" customFormat="1" ht="105" x14ac:dyDescent="0.2">
      <c r="A7" s="179">
        <v>240231</v>
      </c>
      <c r="B7" s="180" t="s">
        <v>797</v>
      </c>
      <c r="C7" s="181" t="s">
        <v>798</v>
      </c>
      <c r="D7" s="180" t="s">
        <v>792</v>
      </c>
      <c r="E7" s="182" t="s">
        <v>799</v>
      </c>
      <c r="F7" s="183">
        <v>100000</v>
      </c>
      <c r="G7" s="183">
        <f t="shared" si="0"/>
        <v>90000</v>
      </c>
      <c r="H7" s="183">
        <f t="shared" si="1"/>
        <v>5000</v>
      </c>
      <c r="I7" s="183">
        <f t="shared" si="2"/>
        <v>5000</v>
      </c>
    </row>
    <row r="8" spans="1:9" s="174" customFormat="1" ht="105" x14ac:dyDescent="0.2">
      <c r="A8" s="179">
        <v>240233</v>
      </c>
      <c r="B8" s="180" t="s">
        <v>800</v>
      </c>
      <c r="C8" s="181" t="s">
        <v>801</v>
      </c>
      <c r="D8" s="180" t="s">
        <v>792</v>
      </c>
      <c r="E8" s="182" t="s">
        <v>802</v>
      </c>
      <c r="F8" s="183">
        <v>85000</v>
      </c>
      <c r="G8" s="183">
        <f t="shared" si="0"/>
        <v>76500</v>
      </c>
      <c r="H8" s="183">
        <f t="shared" si="1"/>
        <v>4250</v>
      </c>
      <c r="I8" s="183">
        <f t="shared" si="2"/>
        <v>4250</v>
      </c>
    </row>
    <row r="9" spans="1:9" ht="21.75" thickBot="1" x14ac:dyDescent="0.25">
      <c r="A9" s="196"/>
      <c r="B9" s="196"/>
      <c r="C9" s="196"/>
      <c r="D9" s="196"/>
      <c r="E9" s="197"/>
      <c r="F9" s="198">
        <f>SUM(F5:F8)</f>
        <v>1114000</v>
      </c>
      <c r="G9" s="198">
        <f>SUM(G5:G8)</f>
        <v>1002600</v>
      </c>
      <c r="H9" s="198">
        <f>SUM(H5:H8)</f>
        <v>55700</v>
      </c>
      <c r="I9" s="198">
        <f>SUM(I5:I8)</f>
        <v>55700</v>
      </c>
    </row>
    <row r="10" spans="1:9" ht="21.75" thickTop="1" x14ac:dyDescent="0.2">
      <c r="I10" s="200">
        <f>+F9-G9-H9-I9</f>
        <v>0</v>
      </c>
    </row>
    <row r="12" spans="1:9" x14ac:dyDescent="0.2">
      <c r="B12" s="201" t="s">
        <v>85</v>
      </c>
      <c r="C12" s="188" t="s">
        <v>86</v>
      </c>
      <c r="D12" s="188"/>
      <c r="E12" s="202"/>
    </row>
    <row r="13" spans="1:9" x14ac:dyDescent="0.2">
      <c r="B13" s="201" t="s">
        <v>3</v>
      </c>
      <c r="C13" s="188" t="s">
        <v>87</v>
      </c>
      <c r="D13" s="188"/>
      <c r="E13" s="202"/>
    </row>
    <row r="14" spans="1:9" x14ac:dyDescent="0.2">
      <c r="B14" s="201" t="s">
        <v>88</v>
      </c>
      <c r="C14" s="188" t="s">
        <v>89</v>
      </c>
      <c r="D14" s="188"/>
      <c r="E14" s="202"/>
    </row>
    <row r="15" spans="1:9" x14ac:dyDescent="0.2">
      <c r="B15" s="201" t="s">
        <v>90</v>
      </c>
      <c r="C15" s="188" t="s">
        <v>91</v>
      </c>
      <c r="D15" s="188"/>
      <c r="E15" s="202"/>
    </row>
    <row r="16" spans="1:9" s="177" customFormat="1" x14ac:dyDescent="0.2">
      <c r="A16" s="174"/>
      <c r="B16" s="201" t="s">
        <v>92</v>
      </c>
      <c r="C16" s="203" t="s">
        <v>93</v>
      </c>
      <c r="E16" s="204"/>
      <c r="F16" s="200"/>
      <c r="G16" s="200"/>
      <c r="H16" s="200"/>
      <c r="I16" s="200"/>
    </row>
  </sheetData>
  <mergeCells count="8">
    <mergeCell ref="A1:I1"/>
    <mergeCell ref="A3:A4"/>
    <mergeCell ref="B3:B4"/>
    <mergeCell ref="C3:C4"/>
    <mergeCell ref="D3:D4"/>
    <mergeCell ref="E3:E4"/>
    <mergeCell ref="F3:F4"/>
    <mergeCell ref="G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03"/>
  <sheetViews>
    <sheetView tabSelected="1" workbookViewId="0">
      <pane xSplit="8" ySplit="7" topLeftCell="I8" activePane="bottomRight" state="frozen"/>
      <selection pane="topRight" activeCell="I1" sqref="I1"/>
      <selection pane="bottomLeft" activeCell="A8" sqref="A8"/>
      <selection pane="bottomRight" activeCell="A3" sqref="A3:P3"/>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45" customWidth="1"/>
    <col min="15" max="15" width="9.625" style="521" customWidth="1"/>
    <col min="16" max="16" width="11.625" style="517" customWidth="1"/>
    <col min="17"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1" width="9.625" style="517" customWidth="1"/>
    <col min="272" max="272" width="11.625" style="517" customWidth="1"/>
    <col min="273"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7" width="9.625" style="517" customWidth="1"/>
    <col min="528" max="528" width="11.625" style="517" customWidth="1"/>
    <col min="529"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3" width="9.625" style="517" customWidth="1"/>
    <col min="784" max="784" width="11.625" style="517" customWidth="1"/>
    <col min="785"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9" width="9.625" style="517" customWidth="1"/>
    <col min="1040" max="1040" width="11.625" style="517" customWidth="1"/>
    <col min="1041"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5" width="9.625" style="517" customWidth="1"/>
    <col min="1296" max="1296" width="11.625" style="517" customWidth="1"/>
    <col min="1297"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1" width="9.625" style="517" customWidth="1"/>
    <col min="1552" max="1552" width="11.625" style="517" customWidth="1"/>
    <col min="1553"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7" width="9.625" style="517" customWidth="1"/>
    <col min="1808" max="1808" width="11.625" style="517" customWidth="1"/>
    <col min="1809"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3" width="9.625" style="517" customWidth="1"/>
    <col min="2064" max="2064" width="11.625" style="517" customWidth="1"/>
    <col min="2065"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9" width="9.625" style="517" customWidth="1"/>
    <col min="2320" max="2320" width="11.625" style="517" customWidth="1"/>
    <col min="2321"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5" width="9.625" style="517" customWidth="1"/>
    <col min="2576" max="2576" width="11.625" style="517" customWidth="1"/>
    <col min="2577"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1" width="9.625" style="517" customWidth="1"/>
    <col min="2832" max="2832" width="11.625" style="517" customWidth="1"/>
    <col min="2833"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7" width="9.625" style="517" customWidth="1"/>
    <col min="3088" max="3088" width="11.625" style="517" customWidth="1"/>
    <col min="3089"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3" width="9.625" style="517" customWidth="1"/>
    <col min="3344" max="3344" width="11.625" style="517" customWidth="1"/>
    <col min="3345"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9" width="9.625" style="517" customWidth="1"/>
    <col min="3600" max="3600" width="11.625" style="517" customWidth="1"/>
    <col min="3601"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5" width="9.625" style="517" customWidth="1"/>
    <col min="3856" max="3856" width="11.625" style="517" customWidth="1"/>
    <col min="3857"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1" width="9.625" style="517" customWidth="1"/>
    <col min="4112" max="4112" width="11.625" style="517" customWidth="1"/>
    <col min="4113"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7" width="9.625" style="517" customWidth="1"/>
    <col min="4368" max="4368" width="11.625" style="517" customWidth="1"/>
    <col min="4369"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3" width="9.625" style="517" customWidth="1"/>
    <col min="4624" max="4624" width="11.625" style="517" customWidth="1"/>
    <col min="4625"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9" width="9.625" style="517" customWidth="1"/>
    <col min="4880" max="4880" width="11.625" style="517" customWidth="1"/>
    <col min="4881"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5" width="9.625" style="517" customWidth="1"/>
    <col min="5136" max="5136" width="11.625" style="517" customWidth="1"/>
    <col min="5137"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1" width="9.625" style="517" customWidth="1"/>
    <col min="5392" max="5392" width="11.625" style="517" customWidth="1"/>
    <col min="5393"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7" width="9.625" style="517" customWidth="1"/>
    <col min="5648" max="5648" width="11.625" style="517" customWidth="1"/>
    <col min="5649"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3" width="9.625" style="517" customWidth="1"/>
    <col min="5904" max="5904" width="11.625" style="517" customWidth="1"/>
    <col min="5905"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9" width="9.625" style="517" customWidth="1"/>
    <col min="6160" max="6160" width="11.625" style="517" customWidth="1"/>
    <col min="6161"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5" width="9.625" style="517" customWidth="1"/>
    <col min="6416" max="6416" width="11.625" style="517" customWidth="1"/>
    <col min="6417"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1" width="9.625" style="517" customWidth="1"/>
    <col min="6672" max="6672" width="11.625" style="517" customWidth="1"/>
    <col min="6673"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7" width="9.625" style="517" customWidth="1"/>
    <col min="6928" max="6928" width="11.625" style="517" customWidth="1"/>
    <col min="6929"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3" width="9.625" style="517" customWidth="1"/>
    <col min="7184" max="7184" width="11.625" style="517" customWidth="1"/>
    <col min="7185"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9" width="9.625" style="517" customWidth="1"/>
    <col min="7440" max="7440" width="11.625" style="517" customWidth="1"/>
    <col min="7441"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5" width="9.625" style="517" customWidth="1"/>
    <col min="7696" max="7696" width="11.625" style="517" customWidth="1"/>
    <col min="7697"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1" width="9.625" style="517" customWidth="1"/>
    <col min="7952" max="7952" width="11.625" style="517" customWidth="1"/>
    <col min="7953"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7" width="9.625" style="517" customWidth="1"/>
    <col min="8208" max="8208" width="11.625" style="517" customWidth="1"/>
    <col min="8209"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3" width="9.625" style="517" customWidth="1"/>
    <col min="8464" max="8464" width="11.625" style="517" customWidth="1"/>
    <col min="8465"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9" width="9.625" style="517" customWidth="1"/>
    <col min="8720" max="8720" width="11.625" style="517" customWidth="1"/>
    <col min="8721"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5" width="9.625" style="517" customWidth="1"/>
    <col min="8976" max="8976" width="11.625" style="517" customWidth="1"/>
    <col min="8977"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1" width="9.625" style="517" customWidth="1"/>
    <col min="9232" max="9232" width="11.625" style="517" customWidth="1"/>
    <col min="9233"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7" width="9.625" style="517" customWidth="1"/>
    <col min="9488" max="9488" width="11.625" style="517" customWidth="1"/>
    <col min="9489"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3" width="9.625" style="517" customWidth="1"/>
    <col min="9744" max="9744" width="11.625" style="517" customWidth="1"/>
    <col min="9745"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9" width="9.625" style="517" customWidth="1"/>
    <col min="10000" max="10000" width="11.625" style="517" customWidth="1"/>
    <col min="10001"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5" width="9.625" style="517" customWidth="1"/>
    <col min="10256" max="10256" width="11.625" style="517" customWidth="1"/>
    <col min="10257"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1" width="9.625" style="517" customWidth="1"/>
    <col min="10512" max="10512" width="11.625" style="517" customWidth="1"/>
    <col min="10513"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7" width="9.625" style="517" customWidth="1"/>
    <col min="10768" max="10768" width="11.625" style="517" customWidth="1"/>
    <col min="10769"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3" width="9.625" style="517" customWidth="1"/>
    <col min="11024" max="11024" width="11.625" style="517" customWidth="1"/>
    <col min="11025"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9" width="9.625" style="517" customWidth="1"/>
    <col min="11280" max="11280" width="11.625" style="517" customWidth="1"/>
    <col min="11281"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5" width="9.625" style="517" customWidth="1"/>
    <col min="11536" max="11536" width="11.625" style="517" customWidth="1"/>
    <col min="11537"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1" width="9.625" style="517" customWidth="1"/>
    <col min="11792" max="11792" width="11.625" style="517" customWidth="1"/>
    <col min="11793"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7" width="9.625" style="517" customWidth="1"/>
    <col min="12048" max="12048" width="11.625" style="517" customWidth="1"/>
    <col min="12049"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3" width="9.625" style="517" customWidth="1"/>
    <col min="12304" max="12304" width="11.625" style="517" customWidth="1"/>
    <col min="12305"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9" width="9.625" style="517" customWidth="1"/>
    <col min="12560" max="12560" width="11.625" style="517" customWidth="1"/>
    <col min="12561"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5" width="9.625" style="517" customWidth="1"/>
    <col min="12816" max="12816" width="11.625" style="517" customWidth="1"/>
    <col min="12817"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1" width="9.625" style="517" customWidth="1"/>
    <col min="13072" max="13072" width="11.625" style="517" customWidth="1"/>
    <col min="13073"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7" width="9.625" style="517" customWidth="1"/>
    <col min="13328" max="13328" width="11.625" style="517" customWidth="1"/>
    <col min="13329"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3" width="9.625" style="517" customWidth="1"/>
    <col min="13584" max="13584" width="11.625" style="517" customWidth="1"/>
    <col min="13585"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9" width="9.625" style="517" customWidth="1"/>
    <col min="13840" max="13840" width="11.625" style="517" customWidth="1"/>
    <col min="13841"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5" width="9.625" style="517" customWidth="1"/>
    <col min="14096" max="14096" width="11.625" style="517" customWidth="1"/>
    <col min="14097"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1" width="9.625" style="517" customWidth="1"/>
    <col min="14352" max="14352" width="11.625" style="517" customWidth="1"/>
    <col min="14353"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7" width="9.625" style="517" customWidth="1"/>
    <col min="14608" max="14608" width="11.625" style="517" customWidth="1"/>
    <col min="14609"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3" width="9.625" style="517" customWidth="1"/>
    <col min="14864" max="14864" width="11.625" style="517" customWidth="1"/>
    <col min="14865"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9" width="9.625" style="517" customWidth="1"/>
    <col min="15120" max="15120" width="11.625" style="517" customWidth="1"/>
    <col min="15121"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5" width="9.625" style="517" customWidth="1"/>
    <col min="15376" max="15376" width="11.625" style="517" customWidth="1"/>
    <col min="15377"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1" width="9.625" style="517" customWidth="1"/>
    <col min="15632" max="15632" width="11.625" style="517" customWidth="1"/>
    <col min="15633"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7" width="9.625" style="517" customWidth="1"/>
    <col min="15888" max="15888" width="11.625" style="517" customWidth="1"/>
    <col min="15889"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3" width="9.625" style="517" customWidth="1"/>
    <col min="16144" max="16144" width="11.625" style="517" customWidth="1"/>
    <col min="16145" max="16384" width="9" style="517"/>
  </cols>
  <sheetData>
    <row r="1" spans="1:17" ht="21" x14ac:dyDescent="0.45">
      <c r="A1" s="640" t="s">
        <v>1913</v>
      </c>
      <c r="B1" s="640"/>
      <c r="C1" s="640"/>
      <c r="D1" s="640"/>
      <c r="E1" s="640"/>
      <c r="F1" s="640"/>
      <c r="G1" s="640"/>
      <c r="H1" s="640"/>
      <c r="I1" s="640"/>
      <c r="J1" s="640"/>
      <c r="K1" s="640"/>
      <c r="L1" s="640"/>
      <c r="M1" s="640"/>
      <c r="N1" s="640"/>
      <c r="O1" s="640"/>
      <c r="P1" s="640"/>
    </row>
    <row r="2" spans="1:17" ht="21" x14ac:dyDescent="0.45">
      <c r="A2" s="640" t="s">
        <v>1920</v>
      </c>
      <c r="B2" s="640"/>
      <c r="C2" s="640"/>
      <c r="D2" s="640"/>
      <c r="E2" s="640"/>
      <c r="F2" s="640"/>
      <c r="G2" s="640"/>
      <c r="H2" s="640"/>
      <c r="I2" s="640"/>
      <c r="J2" s="640"/>
      <c r="K2" s="640"/>
      <c r="L2" s="640"/>
      <c r="M2" s="640"/>
      <c r="N2" s="640"/>
      <c r="O2" s="640"/>
      <c r="P2" s="640"/>
    </row>
    <row r="3" spans="1:17" ht="21" x14ac:dyDescent="0.45">
      <c r="A3" s="640" t="s">
        <v>3630</v>
      </c>
      <c r="B3" s="640"/>
      <c r="C3" s="640"/>
      <c r="D3" s="640"/>
      <c r="E3" s="640"/>
      <c r="F3" s="640"/>
      <c r="G3" s="640"/>
      <c r="H3" s="640"/>
      <c r="I3" s="640"/>
      <c r="J3" s="640"/>
      <c r="K3" s="640"/>
      <c r="L3" s="640"/>
      <c r="M3" s="640"/>
      <c r="N3" s="640"/>
      <c r="O3" s="640"/>
      <c r="P3" s="640"/>
    </row>
    <row r="4" spans="1:17" s="521" customFormat="1" ht="8.1" customHeight="1" x14ac:dyDescent="0.4">
      <c r="A4" s="518"/>
      <c r="B4" s="519"/>
      <c r="C4" s="518"/>
      <c r="D4" s="518"/>
      <c r="E4" s="520"/>
      <c r="I4" s="522"/>
      <c r="N4" s="545"/>
    </row>
    <row r="5" spans="1:17" s="524" customFormat="1" ht="42" customHeight="1" x14ac:dyDescent="0.4">
      <c r="A5" s="638" t="s">
        <v>253</v>
      </c>
      <c r="B5" s="638" t="s">
        <v>254</v>
      </c>
      <c r="C5" s="638"/>
      <c r="D5" s="638"/>
      <c r="E5" s="638"/>
      <c r="F5" s="638"/>
      <c r="G5" s="638"/>
      <c r="H5" s="638"/>
      <c r="I5" s="638"/>
      <c r="J5" s="641" t="s">
        <v>2905</v>
      </c>
      <c r="K5" s="642"/>
      <c r="L5" s="642"/>
      <c r="M5" s="642"/>
      <c r="N5" s="642"/>
      <c r="O5" s="643"/>
      <c r="P5" s="644" t="s">
        <v>256</v>
      </c>
    </row>
    <row r="6" spans="1:17" s="525" customFormat="1" ht="57.75" customHeight="1" x14ac:dyDescent="0.2">
      <c r="A6" s="638"/>
      <c r="B6" s="645" t="s">
        <v>257</v>
      </c>
      <c r="C6" s="638" t="s">
        <v>2</v>
      </c>
      <c r="D6" s="638" t="s">
        <v>258</v>
      </c>
      <c r="E6" s="638" t="s">
        <v>259</v>
      </c>
      <c r="F6" s="638" t="s">
        <v>260</v>
      </c>
      <c r="G6" s="638" t="s">
        <v>261</v>
      </c>
      <c r="H6" s="638" t="s">
        <v>262</v>
      </c>
      <c r="I6" s="647" t="s">
        <v>263</v>
      </c>
      <c r="J6" s="648" t="s">
        <v>2239</v>
      </c>
      <c r="K6" s="648"/>
      <c r="L6" s="646" t="s">
        <v>265</v>
      </c>
      <c r="M6" s="646"/>
      <c r="N6" s="646"/>
      <c r="O6" s="627" t="s">
        <v>3523</v>
      </c>
      <c r="P6" s="644"/>
    </row>
    <row r="7" spans="1:17" s="524" customFormat="1" ht="60" customHeight="1" x14ac:dyDescent="0.4">
      <c r="A7" s="638"/>
      <c r="B7" s="645"/>
      <c r="C7" s="638"/>
      <c r="D7" s="638"/>
      <c r="E7" s="638"/>
      <c r="F7" s="638"/>
      <c r="G7" s="638"/>
      <c r="H7" s="638"/>
      <c r="I7" s="647"/>
      <c r="J7" s="535" t="s">
        <v>266</v>
      </c>
      <c r="K7" s="535" t="s">
        <v>267</v>
      </c>
      <c r="L7" s="536" t="s">
        <v>266</v>
      </c>
      <c r="M7" s="536" t="s">
        <v>267</v>
      </c>
      <c r="N7" s="583" t="s">
        <v>3631</v>
      </c>
      <c r="O7" s="628"/>
      <c r="P7" s="644"/>
    </row>
    <row r="8" spans="1:17" s="328" customFormat="1" x14ac:dyDescent="0.4">
      <c r="A8" s="388" t="s">
        <v>1186</v>
      </c>
      <c r="B8" s="389"/>
      <c r="C8" s="390"/>
      <c r="D8" s="390"/>
      <c r="E8" s="391"/>
      <c r="F8" s="391"/>
      <c r="G8" s="391"/>
      <c r="H8" s="392"/>
      <c r="I8" s="393">
        <f>SUM(I9:I17)</f>
        <v>1481910</v>
      </c>
      <c r="J8" s="393">
        <f t="shared" ref="J8:P8" si="0">SUM(J9:J17)</f>
        <v>4400</v>
      </c>
      <c r="K8" s="393">
        <f t="shared" si="0"/>
        <v>4400</v>
      </c>
      <c r="L8" s="393">
        <f t="shared" si="0"/>
        <v>12460</v>
      </c>
      <c r="M8" s="393">
        <f t="shared" si="0"/>
        <v>12460</v>
      </c>
      <c r="N8" s="584"/>
      <c r="O8" s="527">
        <f t="shared" si="0"/>
        <v>33720</v>
      </c>
      <c r="P8" s="393">
        <f t="shared" si="0"/>
        <v>1448190</v>
      </c>
      <c r="Q8" s="440"/>
    </row>
    <row r="9" spans="1:17" s="571" customFormat="1" ht="131.25" x14ac:dyDescent="0.2">
      <c r="A9" s="528"/>
      <c r="B9" s="529" t="s">
        <v>3504</v>
      </c>
      <c r="C9" s="570" t="s">
        <v>3505</v>
      </c>
      <c r="D9" s="442" t="s">
        <v>3506</v>
      </c>
      <c r="E9" s="443" t="s">
        <v>451</v>
      </c>
      <c r="F9" s="443" t="s">
        <v>739</v>
      </c>
      <c r="G9" s="443" t="s">
        <v>2946</v>
      </c>
      <c r="H9" s="444" t="s">
        <v>3524</v>
      </c>
      <c r="I9" s="493">
        <v>18000</v>
      </c>
      <c r="J9" s="493">
        <v>900</v>
      </c>
      <c r="K9" s="493">
        <v>900</v>
      </c>
      <c r="L9" s="493">
        <v>0</v>
      </c>
      <c r="M9" s="493">
        <v>0</v>
      </c>
      <c r="N9" s="538"/>
      <c r="O9" s="575">
        <f t="shared" ref="O9:O16" si="1">SUM(J9:M9)</f>
        <v>1800</v>
      </c>
      <c r="P9" s="493">
        <f t="shared" ref="P9:P16" si="2">+I9-O9</f>
        <v>16200</v>
      </c>
    </row>
    <row r="10" spans="1:17" s="571" customFormat="1" ht="112.5" x14ac:dyDescent="0.2">
      <c r="A10" s="528"/>
      <c r="B10" s="529" t="s">
        <v>3507</v>
      </c>
      <c r="C10" s="570" t="s">
        <v>3508</v>
      </c>
      <c r="D10" s="442" t="s">
        <v>3509</v>
      </c>
      <c r="E10" s="443" t="s">
        <v>451</v>
      </c>
      <c r="F10" s="443" t="s">
        <v>739</v>
      </c>
      <c r="G10" s="443" t="s">
        <v>2946</v>
      </c>
      <c r="H10" s="444" t="s">
        <v>3525</v>
      </c>
      <c r="I10" s="493">
        <v>45000</v>
      </c>
      <c r="J10" s="493">
        <v>2250</v>
      </c>
      <c r="K10" s="493">
        <v>2250</v>
      </c>
      <c r="L10" s="493">
        <v>0</v>
      </c>
      <c r="M10" s="493">
        <v>0</v>
      </c>
      <c r="N10" s="538"/>
      <c r="O10" s="575">
        <f t="shared" si="1"/>
        <v>4500</v>
      </c>
      <c r="P10" s="493">
        <f t="shared" si="2"/>
        <v>40500</v>
      </c>
    </row>
    <row r="11" spans="1:17" s="571" customFormat="1" ht="112.5" x14ac:dyDescent="0.2">
      <c r="A11" s="528"/>
      <c r="B11" s="529" t="s">
        <v>3552</v>
      </c>
      <c r="C11" s="570" t="s">
        <v>3553</v>
      </c>
      <c r="D11" s="442" t="s">
        <v>3554</v>
      </c>
      <c r="E11" s="443" t="s">
        <v>451</v>
      </c>
      <c r="F11" s="443" t="s">
        <v>739</v>
      </c>
      <c r="G11" s="443" t="s">
        <v>2946</v>
      </c>
      <c r="H11" s="444" t="s">
        <v>3555</v>
      </c>
      <c r="I11" s="493">
        <v>15000</v>
      </c>
      <c r="J11" s="493">
        <v>750</v>
      </c>
      <c r="K11" s="493">
        <v>750</v>
      </c>
      <c r="L11" s="493">
        <v>0</v>
      </c>
      <c r="M11" s="493">
        <v>0</v>
      </c>
      <c r="N11" s="538"/>
      <c r="O11" s="575">
        <f t="shared" si="1"/>
        <v>1500</v>
      </c>
      <c r="P11" s="493">
        <f t="shared" si="2"/>
        <v>13500</v>
      </c>
    </row>
    <row r="12" spans="1:17" s="571" customFormat="1" ht="131.25" x14ac:dyDescent="0.2">
      <c r="A12" s="528"/>
      <c r="B12" s="529" t="s">
        <v>3575</v>
      </c>
      <c r="C12" s="570" t="s">
        <v>3576</v>
      </c>
      <c r="D12" s="442" t="s">
        <v>3577</v>
      </c>
      <c r="E12" s="443" t="s">
        <v>451</v>
      </c>
      <c r="F12" s="443" t="s">
        <v>739</v>
      </c>
      <c r="G12" s="443" t="s">
        <v>1144</v>
      </c>
      <c r="H12" s="444" t="s">
        <v>3578</v>
      </c>
      <c r="I12" s="493">
        <v>133000</v>
      </c>
      <c r="J12" s="493">
        <v>0</v>
      </c>
      <c r="K12" s="493">
        <v>0</v>
      </c>
      <c r="L12" s="493">
        <v>0</v>
      </c>
      <c r="M12" s="493">
        <v>0</v>
      </c>
      <c r="N12" s="538" t="s">
        <v>2987</v>
      </c>
      <c r="O12" s="575">
        <f t="shared" si="1"/>
        <v>0</v>
      </c>
      <c r="P12" s="493">
        <f t="shared" si="2"/>
        <v>133000</v>
      </c>
    </row>
    <row r="13" spans="1:17" s="571" customFormat="1" ht="168.75" x14ac:dyDescent="0.2">
      <c r="A13" s="528"/>
      <c r="B13" s="529" t="s">
        <v>3579</v>
      </c>
      <c r="C13" s="570" t="s">
        <v>3580</v>
      </c>
      <c r="D13" s="442" t="s">
        <v>3581</v>
      </c>
      <c r="E13" s="443" t="s">
        <v>3582</v>
      </c>
      <c r="F13" s="443" t="s">
        <v>739</v>
      </c>
      <c r="G13" s="443" t="s">
        <v>3583</v>
      </c>
      <c r="H13" s="444" t="s">
        <v>3584</v>
      </c>
      <c r="I13" s="493">
        <v>10000</v>
      </c>
      <c r="J13" s="493">
        <v>500</v>
      </c>
      <c r="K13" s="493">
        <v>500</v>
      </c>
      <c r="L13" s="493">
        <v>0</v>
      </c>
      <c r="M13" s="493">
        <v>0</v>
      </c>
      <c r="N13" s="538"/>
      <c r="O13" s="575">
        <f t="shared" si="1"/>
        <v>1000</v>
      </c>
      <c r="P13" s="493">
        <f t="shared" si="2"/>
        <v>9000</v>
      </c>
    </row>
    <row r="14" spans="1:17" s="571" customFormat="1" ht="131.25" x14ac:dyDescent="0.2">
      <c r="A14" s="528"/>
      <c r="B14" s="529" t="s">
        <v>3585</v>
      </c>
      <c r="C14" s="570" t="s">
        <v>3586</v>
      </c>
      <c r="D14" s="442" t="s">
        <v>3587</v>
      </c>
      <c r="E14" s="443" t="s">
        <v>1185</v>
      </c>
      <c r="F14" s="443" t="s">
        <v>739</v>
      </c>
      <c r="G14" s="443" t="s">
        <v>1763</v>
      </c>
      <c r="H14" s="444" t="s">
        <v>3588</v>
      </c>
      <c r="I14" s="493">
        <v>348260</v>
      </c>
      <c r="J14" s="493">
        <v>0</v>
      </c>
      <c r="K14" s="493">
        <v>0</v>
      </c>
      <c r="L14" s="493">
        <v>0</v>
      </c>
      <c r="M14" s="493">
        <v>0</v>
      </c>
      <c r="N14" s="538" t="s">
        <v>1786</v>
      </c>
      <c r="O14" s="575">
        <f t="shared" si="1"/>
        <v>0</v>
      </c>
      <c r="P14" s="493">
        <f t="shared" si="2"/>
        <v>348260</v>
      </c>
    </row>
    <row r="15" spans="1:17" s="571" customFormat="1" ht="150" x14ac:dyDescent="0.2">
      <c r="A15" s="528"/>
      <c r="B15" s="529" t="s">
        <v>3585</v>
      </c>
      <c r="C15" s="570" t="s">
        <v>3586</v>
      </c>
      <c r="D15" s="442" t="s">
        <v>3587</v>
      </c>
      <c r="E15" s="443" t="s">
        <v>2155</v>
      </c>
      <c r="F15" s="443" t="s">
        <v>739</v>
      </c>
      <c r="G15" s="443" t="s">
        <v>1763</v>
      </c>
      <c r="H15" s="444" t="s">
        <v>3589</v>
      </c>
      <c r="I15" s="493">
        <v>450000</v>
      </c>
      <c r="J15" s="493">
        <v>0</v>
      </c>
      <c r="K15" s="493">
        <v>0</v>
      </c>
      <c r="L15" s="493">
        <v>0</v>
      </c>
      <c r="M15" s="493">
        <v>0</v>
      </c>
      <c r="N15" s="538" t="s">
        <v>1786</v>
      </c>
      <c r="O15" s="575">
        <f t="shared" si="1"/>
        <v>0</v>
      </c>
      <c r="P15" s="493">
        <f t="shared" si="2"/>
        <v>450000</v>
      </c>
    </row>
    <row r="16" spans="1:17" s="571" customFormat="1" ht="112.5" x14ac:dyDescent="0.2">
      <c r="A16" s="528"/>
      <c r="B16" s="529" t="s">
        <v>3585</v>
      </c>
      <c r="C16" s="570" t="s">
        <v>3590</v>
      </c>
      <c r="D16" s="442" t="s">
        <v>3591</v>
      </c>
      <c r="E16" s="443" t="s">
        <v>2155</v>
      </c>
      <c r="F16" s="443" t="s">
        <v>739</v>
      </c>
      <c r="G16" s="443" t="s">
        <v>1144</v>
      </c>
      <c r="H16" s="444" t="s">
        <v>3592</v>
      </c>
      <c r="I16" s="493">
        <v>462650</v>
      </c>
      <c r="J16" s="493">
        <v>0</v>
      </c>
      <c r="K16" s="493">
        <v>0</v>
      </c>
      <c r="L16" s="493">
        <v>12460</v>
      </c>
      <c r="M16" s="493">
        <v>12460</v>
      </c>
      <c r="N16" s="538"/>
      <c r="O16" s="575">
        <f t="shared" si="1"/>
        <v>24920</v>
      </c>
      <c r="P16" s="493">
        <f t="shared" si="2"/>
        <v>437730</v>
      </c>
    </row>
    <row r="17" spans="1:16" s="440" customFormat="1" x14ac:dyDescent="0.2">
      <c r="A17" s="438"/>
      <c r="B17" s="437"/>
      <c r="C17" s="439"/>
      <c r="D17" s="439"/>
      <c r="E17" s="435"/>
      <c r="F17" s="435"/>
      <c r="G17" s="435"/>
      <c r="H17" s="436"/>
      <c r="I17" s="486"/>
      <c r="J17" s="486"/>
      <c r="K17" s="486"/>
      <c r="L17" s="486"/>
      <c r="M17" s="486"/>
      <c r="N17" s="538"/>
      <c r="O17" s="575"/>
      <c r="P17" s="493"/>
    </row>
    <row r="18" spans="1:16" s="440" customFormat="1" hidden="1" x14ac:dyDescent="0.2">
      <c r="A18" s="388" t="s">
        <v>360</v>
      </c>
      <c r="B18" s="389"/>
      <c r="C18" s="491"/>
      <c r="D18" s="390"/>
      <c r="E18" s="391"/>
      <c r="F18" s="391"/>
      <c r="G18" s="391"/>
      <c r="H18" s="392"/>
      <c r="I18" s="393">
        <f t="shared" ref="I18:P18" si="3">SUM(I19:I20)</f>
        <v>0</v>
      </c>
      <c r="J18" s="393">
        <f t="shared" si="3"/>
        <v>0</v>
      </c>
      <c r="K18" s="393">
        <f t="shared" si="3"/>
        <v>0</v>
      </c>
      <c r="L18" s="393">
        <f t="shared" si="3"/>
        <v>0</v>
      </c>
      <c r="M18" s="393">
        <f t="shared" si="3"/>
        <v>0</v>
      </c>
      <c r="N18" s="584">
        <f t="shared" si="3"/>
        <v>0</v>
      </c>
      <c r="O18" s="527">
        <f t="shared" si="3"/>
        <v>0</v>
      </c>
      <c r="P18" s="393">
        <f t="shared" si="3"/>
        <v>0</v>
      </c>
    </row>
    <row r="19" spans="1:16" s="440" customFormat="1" hidden="1" x14ac:dyDescent="0.2">
      <c r="A19" s="438"/>
      <c r="B19" s="437"/>
      <c r="C19" s="439"/>
      <c r="D19" s="439"/>
      <c r="E19" s="435"/>
      <c r="F19" s="435"/>
      <c r="G19" s="435"/>
      <c r="H19" s="436"/>
      <c r="I19" s="486"/>
      <c r="J19" s="486"/>
      <c r="K19" s="486"/>
      <c r="L19" s="486"/>
      <c r="M19" s="486"/>
      <c r="N19" s="538"/>
      <c r="O19" s="575">
        <f>SUM(J19:M19)</f>
        <v>0</v>
      </c>
      <c r="P19" s="493">
        <f>+I19-O19</f>
        <v>0</v>
      </c>
    </row>
    <row r="20" spans="1:16" s="440" customFormat="1" hidden="1" x14ac:dyDescent="0.2">
      <c r="A20" s="438"/>
      <c r="B20" s="437"/>
      <c r="C20" s="439"/>
      <c r="D20" s="439"/>
      <c r="E20" s="435"/>
      <c r="F20" s="435"/>
      <c r="G20" s="435"/>
      <c r="H20" s="436"/>
      <c r="I20" s="486"/>
      <c r="J20" s="486"/>
      <c r="K20" s="486"/>
      <c r="L20" s="486"/>
      <c r="M20" s="486"/>
      <c r="N20" s="538"/>
      <c r="O20" s="575">
        <f>SUM(J20:M20)</f>
        <v>0</v>
      </c>
      <c r="P20" s="493">
        <f>+I20-O20</f>
        <v>0</v>
      </c>
    </row>
    <row r="21" spans="1:16" s="440" customFormat="1" x14ac:dyDescent="0.2">
      <c r="A21" s="388" t="s">
        <v>2126</v>
      </c>
      <c r="B21" s="389"/>
      <c r="C21" s="390"/>
      <c r="D21" s="390"/>
      <c r="E21" s="391"/>
      <c r="F21" s="391"/>
      <c r="G21" s="391"/>
      <c r="H21" s="392"/>
      <c r="I21" s="393">
        <f t="shared" ref="I21:P21" si="4">SUM(I22:I25)</f>
        <v>262500</v>
      </c>
      <c r="J21" s="393">
        <f t="shared" si="4"/>
        <v>7125</v>
      </c>
      <c r="K21" s="393">
        <f t="shared" si="4"/>
        <v>7125</v>
      </c>
      <c r="L21" s="393">
        <f t="shared" si="4"/>
        <v>6000</v>
      </c>
      <c r="M21" s="393">
        <f t="shared" si="4"/>
        <v>6000</v>
      </c>
      <c r="N21" s="584"/>
      <c r="O21" s="527">
        <f t="shared" si="4"/>
        <v>26250</v>
      </c>
      <c r="P21" s="393">
        <f t="shared" si="4"/>
        <v>236250</v>
      </c>
    </row>
    <row r="22" spans="1:16" s="571" customFormat="1" ht="150" x14ac:dyDescent="0.2">
      <c r="A22" s="528"/>
      <c r="B22" s="529" t="s">
        <v>3510</v>
      </c>
      <c r="C22" s="570" t="s">
        <v>3511</v>
      </c>
      <c r="D22" s="442" t="s">
        <v>3512</v>
      </c>
      <c r="E22" s="443" t="s">
        <v>2610</v>
      </c>
      <c r="F22" s="443" t="s">
        <v>2126</v>
      </c>
      <c r="G22" s="443" t="s">
        <v>1144</v>
      </c>
      <c r="H22" s="444" t="s">
        <v>3526</v>
      </c>
      <c r="I22" s="493">
        <v>95000</v>
      </c>
      <c r="J22" s="493">
        <v>0</v>
      </c>
      <c r="K22" s="493">
        <v>0</v>
      </c>
      <c r="L22" s="493">
        <v>4750</v>
      </c>
      <c r="M22" s="493">
        <v>4750</v>
      </c>
      <c r="N22" s="538"/>
      <c r="O22" s="575">
        <f>SUM(J22:M22)</f>
        <v>9500</v>
      </c>
      <c r="P22" s="493">
        <f>+I22-O22</f>
        <v>85500</v>
      </c>
    </row>
    <row r="23" spans="1:16" s="571" customFormat="1" ht="150" x14ac:dyDescent="0.2">
      <c r="A23" s="528"/>
      <c r="B23" s="529" t="s">
        <v>3593</v>
      </c>
      <c r="C23" s="570" t="s">
        <v>3594</v>
      </c>
      <c r="D23" s="442" t="s">
        <v>3595</v>
      </c>
      <c r="E23" s="443" t="s">
        <v>2610</v>
      </c>
      <c r="F23" s="443" t="s">
        <v>2126</v>
      </c>
      <c r="G23" s="443" t="s">
        <v>1144</v>
      </c>
      <c r="H23" s="444" t="s">
        <v>3596</v>
      </c>
      <c r="I23" s="493">
        <v>25000</v>
      </c>
      <c r="J23" s="493">
        <v>0</v>
      </c>
      <c r="K23" s="493">
        <v>0</v>
      </c>
      <c r="L23" s="493">
        <v>1250</v>
      </c>
      <c r="M23" s="493">
        <v>1250</v>
      </c>
      <c r="N23" s="538"/>
      <c r="O23" s="575">
        <f>SUM(J23:M23)</f>
        <v>2500</v>
      </c>
      <c r="P23" s="493">
        <f>+I23-O23</f>
        <v>22500</v>
      </c>
    </row>
    <row r="24" spans="1:16" s="241" customFormat="1" ht="150" x14ac:dyDescent="0.2">
      <c r="A24" s="485"/>
      <c r="B24" s="437" t="s">
        <v>3632</v>
      </c>
      <c r="C24" s="484" t="s">
        <v>3633</v>
      </c>
      <c r="D24" s="484" t="s">
        <v>3634</v>
      </c>
      <c r="E24" s="485" t="s">
        <v>3635</v>
      </c>
      <c r="F24" s="435" t="s">
        <v>2126</v>
      </c>
      <c r="G24" s="435" t="s">
        <v>1144</v>
      </c>
      <c r="H24" s="436" t="s">
        <v>3636</v>
      </c>
      <c r="I24" s="542">
        <v>142500</v>
      </c>
      <c r="J24" s="542">
        <v>7125</v>
      </c>
      <c r="K24" s="542">
        <v>7125</v>
      </c>
      <c r="L24" s="542">
        <v>0</v>
      </c>
      <c r="M24" s="542">
        <v>0</v>
      </c>
      <c r="N24" s="585"/>
      <c r="O24" s="796">
        <f>SUM(J24:M24)</f>
        <v>14250</v>
      </c>
      <c r="P24" s="542">
        <f>+I24-(SUM(J24:N24))</f>
        <v>128250</v>
      </c>
    </row>
    <row r="25" spans="1:16" s="440" customFormat="1" x14ac:dyDescent="0.2">
      <c r="A25" s="438"/>
      <c r="B25" s="437"/>
      <c r="C25" s="439"/>
      <c r="D25" s="439"/>
      <c r="E25" s="435"/>
      <c r="F25" s="435"/>
      <c r="G25" s="435"/>
      <c r="H25" s="436"/>
      <c r="I25" s="486"/>
      <c r="J25" s="486"/>
      <c r="K25" s="486"/>
      <c r="L25" s="486"/>
      <c r="M25" s="486"/>
      <c r="N25" s="538"/>
      <c r="O25" s="575"/>
      <c r="P25" s="493"/>
    </row>
    <row r="26" spans="1:16" s="440" customFormat="1" x14ac:dyDescent="0.2">
      <c r="A26" s="388" t="s">
        <v>161</v>
      </c>
      <c r="B26" s="389"/>
      <c r="C26" s="390"/>
      <c r="D26" s="390"/>
      <c r="E26" s="391"/>
      <c r="F26" s="391"/>
      <c r="G26" s="391"/>
      <c r="H26" s="392"/>
      <c r="I26" s="393">
        <f t="shared" ref="I26:P26" si="5">SUM(I27:I39)</f>
        <v>2684554</v>
      </c>
      <c r="J26" s="393">
        <f t="shared" si="5"/>
        <v>6325.7000000000007</v>
      </c>
      <c r="K26" s="393">
        <f t="shared" si="5"/>
        <v>6325.7000000000007</v>
      </c>
      <c r="L26" s="393">
        <f t="shared" si="5"/>
        <v>106219.75</v>
      </c>
      <c r="M26" s="393">
        <f t="shared" si="5"/>
        <v>106219.75</v>
      </c>
      <c r="N26" s="584"/>
      <c r="O26" s="527">
        <f t="shared" si="5"/>
        <v>225090.9</v>
      </c>
      <c r="P26" s="393">
        <f t="shared" si="5"/>
        <v>2459463.1</v>
      </c>
    </row>
    <row r="27" spans="1:16" s="571" customFormat="1" ht="150" x14ac:dyDescent="0.2">
      <c r="A27" s="528"/>
      <c r="B27" s="529" t="s">
        <v>3504</v>
      </c>
      <c r="C27" s="570" t="s">
        <v>3527</v>
      </c>
      <c r="D27" s="442" t="s">
        <v>3513</v>
      </c>
      <c r="E27" s="443" t="s">
        <v>2025</v>
      </c>
      <c r="F27" s="443" t="s">
        <v>161</v>
      </c>
      <c r="G27" s="443" t="s">
        <v>378</v>
      </c>
      <c r="H27" s="444" t="s">
        <v>3528</v>
      </c>
      <c r="I27" s="493">
        <v>245100</v>
      </c>
      <c r="J27" s="493">
        <v>0</v>
      </c>
      <c r="K27" s="493">
        <v>0</v>
      </c>
      <c r="L27" s="493">
        <v>19608</v>
      </c>
      <c r="M27" s="493">
        <v>19608</v>
      </c>
      <c r="N27" s="538"/>
      <c r="O27" s="575">
        <f t="shared" ref="O27:O34" si="6">SUM(J27:M27)</f>
        <v>39216</v>
      </c>
      <c r="P27" s="493">
        <f t="shared" ref="P27:P34" si="7">+I27-O27</f>
        <v>205884</v>
      </c>
    </row>
    <row r="28" spans="1:16" s="571" customFormat="1" ht="112.5" x14ac:dyDescent="0.2">
      <c r="A28" s="528"/>
      <c r="B28" s="529" t="s">
        <v>3510</v>
      </c>
      <c r="C28" s="570" t="s">
        <v>3521</v>
      </c>
      <c r="D28" s="442" t="s">
        <v>3529</v>
      </c>
      <c r="E28" s="443" t="s">
        <v>914</v>
      </c>
      <c r="F28" s="443" t="s">
        <v>3530</v>
      </c>
      <c r="G28" s="443" t="s">
        <v>3253</v>
      </c>
      <c r="H28" s="444" t="s">
        <v>3531</v>
      </c>
      <c r="I28" s="493">
        <v>49000</v>
      </c>
      <c r="J28" s="493">
        <v>2450</v>
      </c>
      <c r="K28" s="493">
        <v>2450</v>
      </c>
      <c r="L28" s="493">
        <v>0</v>
      </c>
      <c r="M28" s="493">
        <v>0</v>
      </c>
      <c r="N28" s="538"/>
      <c r="O28" s="575">
        <f t="shared" si="6"/>
        <v>4900</v>
      </c>
      <c r="P28" s="493">
        <f t="shared" si="7"/>
        <v>44100</v>
      </c>
    </row>
    <row r="29" spans="1:16" s="571" customFormat="1" ht="93.75" x14ac:dyDescent="0.2">
      <c r="A29" s="528"/>
      <c r="B29" s="529" t="s">
        <v>3532</v>
      </c>
      <c r="C29" s="570" t="s">
        <v>3522</v>
      </c>
      <c r="D29" s="442" t="s">
        <v>3533</v>
      </c>
      <c r="E29" s="443" t="s">
        <v>914</v>
      </c>
      <c r="F29" s="443" t="s">
        <v>3530</v>
      </c>
      <c r="G29" s="443" t="s">
        <v>1039</v>
      </c>
      <c r="H29" s="444" t="s">
        <v>3534</v>
      </c>
      <c r="I29" s="493">
        <v>77514</v>
      </c>
      <c r="J29" s="493">
        <v>3875.7000000000003</v>
      </c>
      <c r="K29" s="493">
        <v>3875.7000000000003</v>
      </c>
      <c r="L29" s="493">
        <v>0</v>
      </c>
      <c r="M29" s="493">
        <v>0</v>
      </c>
      <c r="N29" s="538"/>
      <c r="O29" s="575">
        <f t="shared" si="6"/>
        <v>7751.4000000000005</v>
      </c>
      <c r="P29" s="493">
        <f t="shared" si="7"/>
        <v>69762.600000000006</v>
      </c>
    </row>
    <row r="30" spans="1:16" s="571" customFormat="1" ht="150" x14ac:dyDescent="0.2">
      <c r="A30" s="528"/>
      <c r="B30" s="529">
        <v>244334</v>
      </c>
      <c r="C30" s="570" t="s">
        <v>3535</v>
      </c>
      <c r="D30" s="442" t="s">
        <v>3536</v>
      </c>
      <c r="E30" s="443" t="s">
        <v>2025</v>
      </c>
      <c r="F30" s="443" t="s">
        <v>161</v>
      </c>
      <c r="G30" s="443" t="s">
        <v>378</v>
      </c>
      <c r="H30" s="444" t="s">
        <v>3537</v>
      </c>
      <c r="I30" s="493">
        <v>490200</v>
      </c>
      <c r="J30" s="493">
        <v>0</v>
      </c>
      <c r="K30" s="493">
        <v>0</v>
      </c>
      <c r="L30" s="493">
        <v>39216</v>
      </c>
      <c r="M30" s="493">
        <v>39216</v>
      </c>
      <c r="N30" s="538"/>
      <c r="O30" s="575">
        <f t="shared" si="6"/>
        <v>78432</v>
      </c>
      <c r="P30" s="493">
        <f t="shared" si="7"/>
        <v>411768</v>
      </c>
    </row>
    <row r="31" spans="1:16" s="571" customFormat="1" ht="168.75" x14ac:dyDescent="0.2">
      <c r="A31" s="528"/>
      <c r="B31" s="529" t="s">
        <v>3552</v>
      </c>
      <c r="C31" s="570" t="s">
        <v>3556</v>
      </c>
      <c r="D31" s="442" t="s">
        <v>3557</v>
      </c>
      <c r="E31" s="443" t="s">
        <v>2617</v>
      </c>
      <c r="F31" s="443" t="s">
        <v>161</v>
      </c>
      <c r="G31" s="443" t="s">
        <v>1198</v>
      </c>
      <c r="H31" s="444" t="s">
        <v>3558</v>
      </c>
      <c r="I31" s="493">
        <v>44175</v>
      </c>
      <c r="J31" s="493">
        <v>0</v>
      </c>
      <c r="K31" s="493">
        <v>0</v>
      </c>
      <c r="L31" s="493">
        <v>2466.25</v>
      </c>
      <c r="M31" s="493">
        <v>2466.25</v>
      </c>
      <c r="N31" s="538"/>
      <c r="O31" s="575">
        <f t="shared" si="6"/>
        <v>4932.5</v>
      </c>
      <c r="P31" s="493">
        <f t="shared" si="7"/>
        <v>39242.5</v>
      </c>
    </row>
    <row r="32" spans="1:16" s="571" customFormat="1" ht="150" x14ac:dyDescent="0.2">
      <c r="A32" s="528"/>
      <c r="B32" s="529" t="s">
        <v>3585</v>
      </c>
      <c r="C32" s="570" t="s">
        <v>3586</v>
      </c>
      <c r="D32" s="442" t="s">
        <v>3587</v>
      </c>
      <c r="E32" s="443" t="s">
        <v>1810</v>
      </c>
      <c r="F32" s="443" t="s">
        <v>161</v>
      </c>
      <c r="G32" s="443" t="s">
        <v>1763</v>
      </c>
      <c r="H32" s="444" t="s">
        <v>3597</v>
      </c>
      <c r="I32" s="493">
        <v>280000</v>
      </c>
      <c r="J32" s="493">
        <v>0</v>
      </c>
      <c r="K32" s="493">
        <v>0</v>
      </c>
      <c r="L32" s="493">
        <v>0</v>
      </c>
      <c r="M32" s="493">
        <v>0</v>
      </c>
      <c r="N32" s="538" t="s">
        <v>1786</v>
      </c>
      <c r="O32" s="575">
        <f t="shared" si="6"/>
        <v>0</v>
      </c>
      <c r="P32" s="493">
        <f t="shared" si="7"/>
        <v>280000</v>
      </c>
    </row>
    <row r="33" spans="1:16" s="571" customFormat="1" ht="150" x14ac:dyDescent="0.2">
      <c r="A33" s="528"/>
      <c r="B33" s="529" t="s">
        <v>3585</v>
      </c>
      <c r="C33" s="570" t="s">
        <v>3586</v>
      </c>
      <c r="D33" s="442" t="s">
        <v>3587</v>
      </c>
      <c r="E33" s="443" t="s">
        <v>2833</v>
      </c>
      <c r="F33" s="443" t="s">
        <v>161</v>
      </c>
      <c r="G33" s="443" t="s">
        <v>1763</v>
      </c>
      <c r="H33" s="444" t="s">
        <v>3598</v>
      </c>
      <c r="I33" s="493">
        <v>495565</v>
      </c>
      <c r="J33" s="493">
        <v>0</v>
      </c>
      <c r="K33" s="493">
        <v>0</v>
      </c>
      <c r="L33" s="493">
        <v>0</v>
      </c>
      <c r="M33" s="493">
        <v>0</v>
      </c>
      <c r="N33" s="538" t="s">
        <v>3599</v>
      </c>
      <c r="O33" s="575">
        <f t="shared" si="6"/>
        <v>0</v>
      </c>
      <c r="P33" s="493">
        <f t="shared" si="7"/>
        <v>495565</v>
      </c>
    </row>
    <row r="34" spans="1:16" s="571" customFormat="1" ht="150" x14ac:dyDescent="0.2">
      <c r="A34" s="528"/>
      <c r="B34" s="529" t="s">
        <v>3593</v>
      </c>
      <c r="C34" s="570" t="s">
        <v>3600</v>
      </c>
      <c r="D34" s="442" t="s">
        <v>3601</v>
      </c>
      <c r="E34" s="443" t="s">
        <v>2590</v>
      </c>
      <c r="F34" s="443" t="s">
        <v>161</v>
      </c>
      <c r="G34" s="443" t="s">
        <v>1198</v>
      </c>
      <c r="H34" s="444" t="s">
        <v>3602</v>
      </c>
      <c r="I34" s="493">
        <v>95000</v>
      </c>
      <c r="J34" s="493">
        <v>0</v>
      </c>
      <c r="K34" s="493">
        <v>0</v>
      </c>
      <c r="L34" s="493">
        <v>4750</v>
      </c>
      <c r="M34" s="493">
        <v>4750</v>
      </c>
      <c r="N34" s="538"/>
      <c r="O34" s="575">
        <f t="shared" si="6"/>
        <v>9500</v>
      </c>
      <c r="P34" s="493">
        <f t="shared" si="7"/>
        <v>85500</v>
      </c>
    </row>
    <row r="35" spans="1:16" s="241" customFormat="1" ht="168.75" x14ac:dyDescent="0.2">
      <c r="A35" s="485"/>
      <c r="B35" s="437" t="s">
        <v>3637</v>
      </c>
      <c r="C35" s="484" t="s">
        <v>3638</v>
      </c>
      <c r="D35" s="484" t="s">
        <v>3639</v>
      </c>
      <c r="E35" s="485" t="s">
        <v>3640</v>
      </c>
      <c r="F35" s="435" t="s">
        <v>161</v>
      </c>
      <c r="G35" s="435" t="s">
        <v>1198</v>
      </c>
      <c r="H35" s="436" t="s">
        <v>3641</v>
      </c>
      <c r="I35" s="542">
        <v>300000</v>
      </c>
      <c r="J35" s="542">
        <v>0</v>
      </c>
      <c r="K35" s="542">
        <v>0</v>
      </c>
      <c r="L35" s="542">
        <v>0</v>
      </c>
      <c r="M35" s="542">
        <v>0</v>
      </c>
      <c r="N35" s="585" t="s">
        <v>3642</v>
      </c>
      <c r="O35" s="796">
        <f>SUM(J35:M35)</f>
        <v>0</v>
      </c>
      <c r="P35" s="542">
        <f>+I35-(SUM(J35:N35))</f>
        <v>300000</v>
      </c>
    </row>
    <row r="36" spans="1:16" s="241" customFormat="1" ht="112.5" x14ac:dyDescent="0.2">
      <c r="A36" s="485"/>
      <c r="B36" s="437" t="s">
        <v>3632</v>
      </c>
      <c r="C36" s="484" t="s">
        <v>3643</v>
      </c>
      <c r="D36" s="484" t="s">
        <v>3644</v>
      </c>
      <c r="E36" s="485" t="s">
        <v>957</v>
      </c>
      <c r="F36" s="435" t="s">
        <v>161</v>
      </c>
      <c r="G36" s="435" t="s">
        <v>1198</v>
      </c>
      <c r="H36" s="436" t="s">
        <v>3645</v>
      </c>
      <c r="I36" s="542">
        <v>145350</v>
      </c>
      <c r="J36" s="542">
        <v>0</v>
      </c>
      <c r="K36" s="542">
        <v>0</v>
      </c>
      <c r="L36" s="542">
        <v>7267.5</v>
      </c>
      <c r="M36" s="542">
        <v>7267.5</v>
      </c>
      <c r="N36" s="585"/>
      <c r="O36" s="796">
        <f>SUM(J36:M36)</f>
        <v>14535</v>
      </c>
      <c r="P36" s="542">
        <f>+I36-(SUM(J36:N36))</f>
        <v>130815</v>
      </c>
    </row>
    <row r="37" spans="1:16" s="241" customFormat="1" ht="150" x14ac:dyDescent="0.2">
      <c r="A37" s="485"/>
      <c r="B37" s="437" t="s">
        <v>3632</v>
      </c>
      <c r="C37" s="484" t="s">
        <v>3646</v>
      </c>
      <c r="D37" s="484" t="s">
        <v>3647</v>
      </c>
      <c r="E37" s="485" t="s">
        <v>2025</v>
      </c>
      <c r="F37" s="435" t="s">
        <v>161</v>
      </c>
      <c r="G37" s="435" t="s">
        <v>378</v>
      </c>
      <c r="H37" s="436" t="s">
        <v>3648</v>
      </c>
      <c r="I37" s="542">
        <v>367650</v>
      </c>
      <c r="J37" s="542">
        <v>0</v>
      </c>
      <c r="K37" s="542">
        <v>0</v>
      </c>
      <c r="L37" s="542">
        <v>29412</v>
      </c>
      <c r="M37" s="542">
        <v>29412</v>
      </c>
      <c r="N37" s="585"/>
      <c r="O37" s="796">
        <f>SUM(J37:M37)</f>
        <v>58824</v>
      </c>
      <c r="P37" s="542">
        <f>+I37-(SUM(J37:N37))</f>
        <v>308826</v>
      </c>
    </row>
    <row r="38" spans="1:16" s="241" customFormat="1" ht="131.25" x14ac:dyDescent="0.2">
      <c r="A38" s="485"/>
      <c r="B38" s="437" t="s">
        <v>3632</v>
      </c>
      <c r="C38" s="484" t="s">
        <v>3649</v>
      </c>
      <c r="D38" s="484" t="s">
        <v>3650</v>
      </c>
      <c r="E38" s="485" t="s">
        <v>1300</v>
      </c>
      <c r="F38" s="435" t="s">
        <v>161</v>
      </c>
      <c r="G38" s="435" t="s">
        <v>1198</v>
      </c>
      <c r="H38" s="436" t="s">
        <v>3651</v>
      </c>
      <c r="I38" s="542">
        <v>95000</v>
      </c>
      <c r="J38" s="542">
        <v>0</v>
      </c>
      <c r="K38" s="542">
        <v>0</v>
      </c>
      <c r="L38" s="542">
        <v>3500</v>
      </c>
      <c r="M38" s="542">
        <v>3500</v>
      </c>
      <c r="N38" s="585"/>
      <c r="O38" s="796">
        <f>SUM(J38:M38)</f>
        <v>7000</v>
      </c>
      <c r="P38" s="542">
        <f>+I38-(SUM(J38:N38))</f>
        <v>88000</v>
      </c>
    </row>
    <row r="39" spans="1:16" s="440" customFormat="1" x14ac:dyDescent="0.2">
      <c r="A39" s="438"/>
      <c r="B39" s="437"/>
      <c r="C39" s="439"/>
      <c r="D39" s="439"/>
      <c r="E39" s="435"/>
      <c r="F39" s="435"/>
      <c r="G39" s="435"/>
      <c r="H39" s="436"/>
      <c r="I39" s="486"/>
      <c r="J39" s="486"/>
      <c r="K39" s="486"/>
      <c r="L39" s="486"/>
      <c r="M39" s="486"/>
      <c r="N39" s="530"/>
      <c r="O39" s="575"/>
      <c r="P39" s="493"/>
    </row>
    <row r="40" spans="1:16" s="440" customFormat="1" x14ac:dyDescent="0.2">
      <c r="A40" s="388" t="s">
        <v>156</v>
      </c>
      <c r="B40" s="389"/>
      <c r="C40" s="390"/>
      <c r="D40" s="390"/>
      <c r="E40" s="391"/>
      <c r="F40" s="391"/>
      <c r="G40" s="391"/>
      <c r="H40" s="392"/>
      <c r="I40" s="393">
        <f t="shared" ref="I40:P40" si="8">SUM(I41:I42)</f>
        <v>67373.070000000007</v>
      </c>
      <c r="J40" s="393">
        <f t="shared" si="8"/>
        <v>0</v>
      </c>
      <c r="K40" s="393">
        <f t="shared" si="8"/>
        <v>0</v>
      </c>
      <c r="L40" s="393">
        <f t="shared" si="8"/>
        <v>0</v>
      </c>
      <c r="M40" s="393">
        <f t="shared" si="8"/>
        <v>0</v>
      </c>
      <c r="N40" s="584"/>
      <c r="O40" s="527">
        <f t="shared" si="8"/>
        <v>0</v>
      </c>
      <c r="P40" s="393">
        <f t="shared" si="8"/>
        <v>67373.070000000007</v>
      </c>
    </row>
    <row r="41" spans="1:16" s="241" customFormat="1" ht="168.75" x14ac:dyDescent="0.2">
      <c r="A41" s="485"/>
      <c r="B41" s="437" t="s">
        <v>3652</v>
      </c>
      <c r="C41" s="484" t="s">
        <v>3653</v>
      </c>
      <c r="D41" s="484" t="s">
        <v>3654</v>
      </c>
      <c r="E41" s="485" t="s">
        <v>3291</v>
      </c>
      <c r="F41" s="435" t="s">
        <v>156</v>
      </c>
      <c r="G41" s="435" t="s">
        <v>2855</v>
      </c>
      <c r="H41" s="436" t="s">
        <v>3655</v>
      </c>
      <c r="I41" s="542">
        <v>67373.070000000007</v>
      </c>
      <c r="J41" s="542">
        <v>0</v>
      </c>
      <c r="K41" s="542">
        <v>0</v>
      </c>
      <c r="L41" s="542">
        <v>0</v>
      </c>
      <c r="M41" s="542">
        <v>0</v>
      </c>
      <c r="N41" s="585" t="s">
        <v>2987</v>
      </c>
      <c r="O41" s="796">
        <f>SUM(J41:M41)</f>
        <v>0</v>
      </c>
      <c r="P41" s="542">
        <f>+I41-(SUM(J41:N41))</f>
        <v>67373.070000000007</v>
      </c>
    </row>
    <row r="42" spans="1:16" s="440" customFormat="1" x14ac:dyDescent="0.2">
      <c r="A42" s="438"/>
      <c r="B42" s="437"/>
      <c r="C42" s="439"/>
      <c r="D42" s="439"/>
      <c r="E42" s="435"/>
      <c r="F42" s="435"/>
      <c r="G42" s="435"/>
      <c r="H42" s="436"/>
      <c r="I42" s="486"/>
      <c r="J42" s="486"/>
      <c r="K42" s="486"/>
      <c r="L42" s="486"/>
      <c r="M42" s="486"/>
      <c r="N42" s="538"/>
      <c r="O42" s="575">
        <f>SUM(J42:M42)</f>
        <v>0</v>
      </c>
      <c r="P42" s="493">
        <f>+I42-O42</f>
        <v>0</v>
      </c>
    </row>
    <row r="43" spans="1:16" s="440" customFormat="1" x14ac:dyDescent="0.2">
      <c r="A43" s="388" t="s">
        <v>2434</v>
      </c>
      <c r="B43" s="389"/>
      <c r="C43" s="390"/>
      <c r="D43" s="390"/>
      <c r="E43" s="391"/>
      <c r="F43" s="391"/>
      <c r="G43" s="391"/>
      <c r="H43" s="392"/>
      <c r="I43" s="393">
        <f t="shared" ref="I43:P43" si="9">SUM(I44:I50)</f>
        <v>1082881.2</v>
      </c>
      <c r="J43" s="393">
        <f t="shared" si="9"/>
        <v>29581.7</v>
      </c>
      <c r="K43" s="393">
        <f t="shared" si="9"/>
        <v>29581.7</v>
      </c>
      <c r="L43" s="393">
        <f t="shared" si="9"/>
        <v>9500</v>
      </c>
      <c r="M43" s="393">
        <f t="shared" si="9"/>
        <v>9500</v>
      </c>
      <c r="N43" s="584"/>
      <c r="O43" s="527">
        <f t="shared" si="9"/>
        <v>78163.399999999994</v>
      </c>
      <c r="P43" s="393">
        <f t="shared" si="9"/>
        <v>1004717.8</v>
      </c>
    </row>
    <row r="44" spans="1:16" s="440" customFormat="1" ht="117" customHeight="1" x14ac:dyDescent="0.2">
      <c r="A44" s="438"/>
      <c r="B44" s="437">
        <v>244326</v>
      </c>
      <c r="C44" s="439" t="s">
        <v>3538</v>
      </c>
      <c r="D44" s="439" t="s">
        <v>3539</v>
      </c>
      <c r="E44" s="435" t="s">
        <v>2670</v>
      </c>
      <c r="F44" s="435" t="s">
        <v>2434</v>
      </c>
      <c r="G44" s="435" t="s">
        <v>2671</v>
      </c>
      <c r="H44" s="436" t="s">
        <v>3540</v>
      </c>
      <c r="I44" s="486">
        <v>357271.2</v>
      </c>
      <c r="J44" s="486">
        <v>28581.7</v>
      </c>
      <c r="K44" s="486">
        <v>28581.7</v>
      </c>
      <c r="L44" s="486">
        <v>0</v>
      </c>
      <c r="M44" s="486">
        <v>0</v>
      </c>
      <c r="N44" s="530"/>
      <c r="O44" s="575">
        <f t="shared" ref="O44:O49" si="10">SUM(J44:M44)</f>
        <v>57163.4</v>
      </c>
      <c r="P44" s="493">
        <f>+I44-O44</f>
        <v>300107.8</v>
      </c>
    </row>
    <row r="45" spans="1:16" s="440" customFormat="1" ht="131.25" x14ac:dyDescent="0.2">
      <c r="A45" s="438"/>
      <c r="B45" s="437" t="s">
        <v>3579</v>
      </c>
      <c r="C45" s="439" t="s">
        <v>3603</v>
      </c>
      <c r="D45" s="439" t="s">
        <v>3604</v>
      </c>
      <c r="E45" s="435" t="s">
        <v>2231</v>
      </c>
      <c r="F45" s="435" t="s">
        <v>2434</v>
      </c>
      <c r="G45" s="435" t="s">
        <v>1144</v>
      </c>
      <c r="H45" s="436" t="s">
        <v>3605</v>
      </c>
      <c r="I45" s="486">
        <v>190000</v>
      </c>
      <c r="J45" s="486">
        <v>0</v>
      </c>
      <c r="K45" s="486">
        <v>0</v>
      </c>
      <c r="L45" s="486">
        <v>9500</v>
      </c>
      <c r="M45" s="486">
        <v>9500</v>
      </c>
      <c r="N45" s="530"/>
      <c r="O45" s="575">
        <f t="shared" si="10"/>
        <v>19000</v>
      </c>
      <c r="P45" s="493">
        <f>+I45-O45</f>
        <v>171000</v>
      </c>
    </row>
    <row r="46" spans="1:16" s="440" customFormat="1" ht="168.75" x14ac:dyDescent="0.2">
      <c r="A46" s="438"/>
      <c r="B46" s="437" t="s">
        <v>3585</v>
      </c>
      <c r="C46" s="439" t="s">
        <v>3586</v>
      </c>
      <c r="D46" s="439" t="s">
        <v>3587</v>
      </c>
      <c r="E46" s="435" t="s">
        <v>2861</v>
      </c>
      <c r="F46" s="435" t="s">
        <v>2434</v>
      </c>
      <c r="G46" s="435" t="s">
        <v>1763</v>
      </c>
      <c r="H46" s="436" t="s">
        <v>3606</v>
      </c>
      <c r="I46" s="486">
        <v>427410</v>
      </c>
      <c r="J46" s="486">
        <v>0</v>
      </c>
      <c r="K46" s="486">
        <v>0</v>
      </c>
      <c r="L46" s="486">
        <v>0</v>
      </c>
      <c r="M46" s="486">
        <v>0</v>
      </c>
      <c r="N46" s="530" t="s">
        <v>1786</v>
      </c>
      <c r="O46" s="575">
        <f t="shared" si="10"/>
        <v>0</v>
      </c>
      <c r="P46" s="493">
        <f>+I46-O46</f>
        <v>427410</v>
      </c>
    </row>
    <row r="47" spans="1:16" s="440" customFormat="1" ht="168.75" x14ac:dyDescent="0.2">
      <c r="A47" s="438"/>
      <c r="B47" s="437" t="s">
        <v>3593</v>
      </c>
      <c r="C47" s="439" t="s">
        <v>3607</v>
      </c>
      <c r="D47" s="439" t="s">
        <v>3608</v>
      </c>
      <c r="E47" s="435" t="s">
        <v>2598</v>
      </c>
      <c r="F47" s="435" t="s">
        <v>2434</v>
      </c>
      <c r="G47" s="435" t="s">
        <v>1198</v>
      </c>
      <c r="H47" s="436" t="s">
        <v>3609</v>
      </c>
      <c r="I47" s="486">
        <v>30200</v>
      </c>
      <c r="J47" s="486">
        <v>0</v>
      </c>
      <c r="K47" s="486">
        <v>0</v>
      </c>
      <c r="L47" s="486">
        <v>0</v>
      </c>
      <c r="M47" s="486">
        <v>0</v>
      </c>
      <c r="N47" s="530" t="s">
        <v>2987</v>
      </c>
      <c r="O47" s="575">
        <f t="shared" si="10"/>
        <v>0</v>
      </c>
      <c r="P47" s="493">
        <f>+I47-O47</f>
        <v>30200</v>
      </c>
    </row>
    <row r="48" spans="1:16" s="241" customFormat="1" ht="225" x14ac:dyDescent="0.2">
      <c r="A48" s="485"/>
      <c r="B48" s="437" t="s">
        <v>3632</v>
      </c>
      <c r="C48" s="484" t="s">
        <v>3656</v>
      </c>
      <c r="D48" s="484" t="s">
        <v>3657</v>
      </c>
      <c r="E48" s="485" t="s">
        <v>3157</v>
      </c>
      <c r="F48" s="435" t="s">
        <v>2434</v>
      </c>
      <c r="G48" s="435" t="s">
        <v>3158</v>
      </c>
      <c r="H48" s="436" t="s">
        <v>3658</v>
      </c>
      <c r="I48" s="542">
        <v>20000</v>
      </c>
      <c r="J48" s="542">
        <v>1000</v>
      </c>
      <c r="K48" s="542">
        <v>1000</v>
      </c>
      <c r="L48" s="542">
        <v>0</v>
      </c>
      <c r="M48" s="542">
        <v>0</v>
      </c>
      <c r="N48" s="585"/>
      <c r="O48" s="796">
        <f t="shared" si="10"/>
        <v>2000</v>
      </c>
      <c r="P48" s="542">
        <f>+I48-(SUM(J48:N48))</f>
        <v>18000</v>
      </c>
    </row>
    <row r="49" spans="1:16" s="241" customFormat="1" ht="187.5" x14ac:dyDescent="0.2">
      <c r="A49" s="485"/>
      <c r="B49" s="437" t="s">
        <v>3659</v>
      </c>
      <c r="C49" s="484" t="s">
        <v>3660</v>
      </c>
      <c r="D49" s="484" t="s">
        <v>3661</v>
      </c>
      <c r="E49" s="485" t="s">
        <v>3332</v>
      </c>
      <c r="F49" s="435" t="s">
        <v>2434</v>
      </c>
      <c r="G49" s="435" t="s">
        <v>1763</v>
      </c>
      <c r="H49" s="436" t="s">
        <v>3662</v>
      </c>
      <c r="I49" s="542">
        <v>58000</v>
      </c>
      <c r="J49" s="542">
        <v>0</v>
      </c>
      <c r="K49" s="542">
        <v>0</v>
      </c>
      <c r="L49" s="542">
        <v>0</v>
      </c>
      <c r="M49" s="542">
        <v>0</v>
      </c>
      <c r="N49" s="585" t="s">
        <v>3663</v>
      </c>
      <c r="O49" s="796">
        <f t="shared" si="10"/>
        <v>0</v>
      </c>
      <c r="P49" s="542">
        <f>+I49-(SUM(J49:N49))</f>
        <v>58000</v>
      </c>
    </row>
    <row r="50" spans="1:16" s="440" customFormat="1" x14ac:dyDescent="0.2">
      <c r="A50" s="438"/>
      <c r="B50" s="437"/>
      <c r="C50" s="439"/>
      <c r="D50" s="439"/>
      <c r="E50" s="435"/>
      <c r="F50" s="435"/>
      <c r="G50" s="435"/>
      <c r="H50" s="436"/>
      <c r="I50" s="486"/>
      <c r="J50" s="486"/>
      <c r="K50" s="486"/>
      <c r="L50" s="486"/>
      <c r="M50" s="486"/>
      <c r="N50" s="530"/>
      <c r="O50" s="575"/>
      <c r="P50" s="493"/>
    </row>
    <row r="51" spans="1:16" s="440" customFormat="1" x14ac:dyDescent="0.2">
      <c r="A51" s="388" t="s">
        <v>1229</v>
      </c>
      <c r="B51" s="389"/>
      <c r="C51" s="390"/>
      <c r="D51" s="390"/>
      <c r="E51" s="391"/>
      <c r="F51" s="391"/>
      <c r="G51" s="391"/>
      <c r="H51" s="392"/>
      <c r="I51" s="393">
        <f t="shared" ref="I51:P51" si="11">SUM(I52:I56)</f>
        <v>415000</v>
      </c>
      <c r="J51" s="393">
        <f t="shared" si="11"/>
        <v>1000</v>
      </c>
      <c r="K51" s="393">
        <f t="shared" si="11"/>
        <v>1000</v>
      </c>
      <c r="L51" s="393">
        <f t="shared" si="11"/>
        <v>4750</v>
      </c>
      <c r="M51" s="393">
        <f t="shared" si="11"/>
        <v>4750</v>
      </c>
      <c r="N51" s="584"/>
      <c r="O51" s="527">
        <f t="shared" si="11"/>
        <v>11500</v>
      </c>
      <c r="P51" s="393">
        <f t="shared" si="11"/>
        <v>403500</v>
      </c>
    </row>
    <row r="52" spans="1:16" s="440" customFormat="1" ht="150" x14ac:dyDescent="0.2">
      <c r="A52" s="438"/>
      <c r="B52" s="437" t="s">
        <v>3552</v>
      </c>
      <c r="C52" s="439" t="s">
        <v>3559</v>
      </c>
      <c r="D52" s="439" t="s">
        <v>3560</v>
      </c>
      <c r="E52" s="435" t="s">
        <v>3561</v>
      </c>
      <c r="F52" s="435" t="s">
        <v>1229</v>
      </c>
      <c r="G52" s="435" t="s">
        <v>3562</v>
      </c>
      <c r="H52" s="436" t="s">
        <v>3563</v>
      </c>
      <c r="I52" s="486">
        <v>10000</v>
      </c>
      <c r="J52" s="486">
        <v>500</v>
      </c>
      <c r="K52" s="486">
        <v>500</v>
      </c>
      <c r="L52" s="486">
        <v>0</v>
      </c>
      <c r="M52" s="486">
        <v>0</v>
      </c>
      <c r="N52" s="530"/>
      <c r="O52" s="575">
        <f>SUM(J52:M52)</f>
        <v>1000</v>
      </c>
      <c r="P52" s="493">
        <f>+I52-O52</f>
        <v>9000</v>
      </c>
    </row>
    <row r="53" spans="1:16" s="440" customFormat="1" ht="150" x14ac:dyDescent="0.2">
      <c r="A53" s="438"/>
      <c r="B53" s="437" t="s">
        <v>3610</v>
      </c>
      <c r="C53" s="439" t="s">
        <v>3611</v>
      </c>
      <c r="D53" s="439" t="s">
        <v>3612</v>
      </c>
      <c r="E53" s="435" t="s">
        <v>3613</v>
      </c>
      <c r="F53" s="435" t="s">
        <v>1229</v>
      </c>
      <c r="G53" s="435" t="s">
        <v>3614</v>
      </c>
      <c r="H53" s="436" t="s">
        <v>3615</v>
      </c>
      <c r="I53" s="486">
        <v>10000</v>
      </c>
      <c r="J53" s="486">
        <v>500</v>
      </c>
      <c r="K53" s="486">
        <v>500</v>
      </c>
      <c r="L53" s="486">
        <v>0</v>
      </c>
      <c r="M53" s="486">
        <v>0</v>
      </c>
      <c r="N53" s="530"/>
      <c r="O53" s="575">
        <f>SUM(J53:M53)</f>
        <v>1000</v>
      </c>
      <c r="P53" s="493">
        <f>+I53-O53</f>
        <v>9000</v>
      </c>
    </row>
    <row r="54" spans="1:16" s="241" customFormat="1" ht="131.25" x14ac:dyDescent="0.2">
      <c r="A54" s="485"/>
      <c r="B54" s="437" t="s">
        <v>3637</v>
      </c>
      <c r="C54" s="484" t="s">
        <v>3664</v>
      </c>
      <c r="D54" s="484" t="s">
        <v>3665</v>
      </c>
      <c r="E54" s="485" t="s">
        <v>2142</v>
      </c>
      <c r="F54" s="435" t="s">
        <v>1229</v>
      </c>
      <c r="G54" s="435" t="s">
        <v>1144</v>
      </c>
      <c r="H54" s="436" t="s">
        <v>3666</v>
      </c>
      <c r="I54" s="542">
        <v>95000</v>
      </c>
      <c r="J54" s="542">
        <v>0</v>
      </c>
      <c r="K54" s="542">
        <v>0</v>
      </c>
      <c r="L54" s="542">
        <v>4750</v>
      </c>
      <c r="M54" s="542">
        <v>4750</v>
      </c>
      <c r="N54" s="585"/>
      <c r="O54" s="796">
        <f>SUM(J54:M54)</f>
        <v>9500</v>
      </c>
      <c r="P54" s="542">
        <f>+I54-(SUM(J54:N54))</f>
        <v>85500</v>
      </c>
    </row>
    <row r="55" spans="1:16" s="241" customFormat="1" ht="168.75" x14ac:dyDescent="0.2">
      <c r="A55" s="485"/>
      <c r="B55" s="437" t="s">
        <v>3667</v>
      </c>
      <c r="C55" s="484" t="s">
        <v>3668</v>
      </c>
      <c r="D55" s="484" t="s">
        <v>3669</v>
      </c>
      <c r="E55" s="485" t="s">
        <v>3561</v>
      </c>
      <c r="F55" s="435" t="s">
        <v>1229</v>
      </c>
      <c r="G55" s="435" t="s">
        <v>1144</v>
      </c>
      <c r="H55" s="436" t="s">
        <v>3670</v>
      </c>
      <c r="I55" s="542">
        <v>300000</v>
      </c>
      <c r="J55" s="542">
        <v>0</v>
      </c>
      <c r="K55" s="542">
        <v>0</v>
      </c>
      <c r="L55" s="542">
        <v>0</v>
      </c>
      <c r="M55" s="542">
        <v>0</v>
      </c>
      <c r="N55" s="585" t="s">
        <v>3642</v>
      </c>
      <c r="O55" s="796">
        <f>SUM(J55:M55)</f>
        <v>0</v>
      </c>
      <c r="P55" s="542">
        <f>+I55-(SUM(J55:N55))</f>
        <v>300000</v>
      </c>
    </row>
    <row r="56" spans="1:16" s="440" customFormat="1" x14ac:dyDescent="0.2">
      <c r="A56" s="438"/>
      <c r="B56" s="437"/>
      <c r="C56" s="439"/>
      <c r="D56" s="439"/>
      <c r="E56" s="435"/>
      <c r="F56" s="435"/>
      <c r="G56" s="435"/>
      <c r="H56" s="436"/>
      <c r="I56" s="486"/>
      <c r="J56" s="486"/>
      <c r="K56" s="486"/>
      <c r="L56" s="486"/>
      <c r="M56" s="486"/>
      <c r="N56" s="538"/>
      <c r="O56" s="575"/>
      <c r="P56" s="493"/>
    </row>
    <row r="57" spans="1:16" s="440" customFormat="1" hidden="1" x14ac:dyDescent="0.2">
      <c r="A57" s="388" t="s">
        <v>308</v>
      </c>
      <c r="B57" s="389"/>
      <c r="C57" s="390"/>
      <c r="D57" s="390"/>
      <c r="E57" s="391"/>
      <c r="F57" s="391"/>
      <c r="G57" s="391"/>
      <c r="H57" s="392"/>
      <c r="I57" s="393">
        <f t="shared" ref="I57:P57" si="12">SUM(I58:I59)</f>
        <v>0</v>
      </c>
      <c r="J57" s="393">
        <f t="shared" si="12"/>
        <v>0</v>
      </c>
      <c r="K57" s="393">
        <f t="shared" si="12"/>
        <v>0</v>
      </c>
      <c r="L57" s="393">
        <f t="shared" si="12"/>
        <v>0</v>
      </c>
      <c r="M57" s="393">
        <f t="shared" si="12"/>
        <v>0</v>
      </c>
      <c r="N57" s="584">
        <f t="shared" si="12"/>
        <v>0</v>
      </c>
      <c r="O57" s="527">
        <f t="shared" si="12"/>
        <v>0</v>
      </c>
      <c r="P57" s="393">
        <f t="shared" si="12"/>
        <v>0</v>
      </c>
    </row>
    <row r="58" spans="1:16" s="440" customFormat="1" hidden="1" x14ac:dyDescent="0.2">
      <c r="A58" s="438"/>
      <c r="B58" s="437"/>
      <c r="C58" s="439"/>
      <c r="D58" s="439"/>
      <c r="E58" s="435"/>
      <c r="F58" s="435"/>
      <c r="G58" s="435"/>
      <c r="H58" s="436"/>
      <c r="I58" s="486"/>
      <c r="J58" s="486"/>
      <c r="K58" s="486"/>
      <c r="L58" s="486"/>
      <c r="M58" s="486"/>
      <c r="N58" s="538"/>
      <c r="O58" s="575">
        <f>SUM(J58:M58)</f>
        <v>0</v>
      </c>
      <c r="P58" s="493">
        <f>+I58-O58</f>
        <v>0</v>
      </c>
    </row>
    <row r="59" spans="1:16" s="440" customFormat="1" hidden="1" x14ac:dyDescent="0.2">
      <c r="A59" s="438"/>
      <c r="B59" s="437"/>
      <c r="C59" s="439"/>
      <c r="D59" s="439"/>
      <c r="E59" s="435"/>
      <c r="F59" s="435"/>
      <c r="G59" s="435"/>
      <c r="H59" s="436"/>
      <c r="I59" s="486"/>
      <c r="J59" s="486"/>
      <c r="K59" s="486"/>
      <c r="L59" s="486"/>
      <c r="M59" s="486"/>
      <c r="N59" s="538"/>
      <c r="O59" s="575">
        <f>SUM(J59:M59)</f>
        <v>0</v>
      </c>
      <c r="P59" s="493">
        <f>+I59-O59</f>
        <v>0</v>
      </c>
    </row>
    <row r="60" spans="1:16" s="440" customFormat="1" x14ac:dyDescent="0.2">
      <c r="A60" s="388" t="s">
        <v>19</v>
      </c>
      <c r="B60" s="389"/>
      <c r="C60" s="390"/>
      <c r="D60" s="390"/>
      <c r="E60" s="391"/>
      <c r="F60" s="391"/>
      <c r="G60" s="391"/>
      <c r="H60" s="392"/>
      <c r="I60" s="393">
        <f t="shared" ref="I60:P60" si="13">SUM(I61:I64)</f>
        <v>426473</v>
      </c>
      <c r="J60" s="393">
        <f t="shared" si="13"/>
        <v>21323.65</v>
      </c>
      <c r="K60" s="393">
        <f t="shared" si="13"/>
        <v>21323.65</v>
      </c>
      <c r="L60" s="393">
        <f t="shared" si="13"/>
        <v>7125</v>
      </c>
      <c r="M60" s="393">
        <f t="shared" si="13"/>
        <v>7125</v>
      </c>
      <c r="N60" s="584"/>
      <c r="O60" s="527">
        <f t="shared" si="13"/>
        <v>56897.3</v>
      </c>
      <c r="P60" s="393">
        <f t="shared" si="13"/>
        <v>369575.7</v>
      </c>
    </row>
    <row r="61" spans="1:16" s="569" customFormat="1" ht="243.75" x14ac:dyDescent="0.2">
      <c r="A61" s="438"/>
      <c r="B61" s="437" t="s">
        <v>3474</v>
      </c>
      <c r="C61" s="484" t="s">
        <v>3475</v>
      </c>
      <c r="D61" s="439" t="s">
        <v>3476</v>
      </c>
      <c r="E61" s="435" t="s">
        <v>3182</v>
      </c>
      <c r="F61" s="435" t="s">
        <v>19</v>
      </c>
      <c r="G61" s="435" t="s">
        <v>3380</v>
      </c>
      <c r="H61" s="436" t="s">
        <v>3477</v>
      </c>
      <c r="I61" s="486">
        <v>83973</v>
      </c>
      <c r="J61" s="486">
        <v>4198.6500000000005</v>
      </c>
      <c r="K61" s="486">
        <v>4198.6500000000005</v>
      </c>
      <c r="L61" s="486">
        <v>0</v>
      </c>
      <c r="M61" s="486">
        <v>0</v>
      </c>
      <c r="N61" s="538"/>
      <c r="O61" s="575">
        <f>SUM(J61:M61)</f>
        <v>8397.3000000000011</v>
      </c>
      <c r="P61" s="493">
        <f>+I61-O61</f>
        <v>75575.7</v>
      </c>
    </row>
    <row r="62" spans="1:16" s="569" customFormat="1" ht="168.75" x14ac:dyDescent="0.2">
      <c r="A62" s="438"/>
      <c r="B62" s="437" t="s">
        <v>3579</v>
      </c>
      <c r="C62" s="484" t="s">
        <v>3616</v>
      </c>
      <c r="D62" s="439" t="s">
        <v>3617</v>
      </c>
      <c r="E62" s="435" t="s">
        <v>3188</v>
      </c>
      <c r="F62" s="435" t="s">
        <v>19</v>
      </c>
      <c r="G62" s="435" t="s">
        <v>3383</v>
      </c>
      <c r="H62" s="436" t="s">
        <v>3618</v>
      </c>
      <c r="I62" s="486">
        <v>200000</v>
      </c>
      <c r="J62" s="486">
        <v>10000</v>
      </c>
      <c r="K62" s="486">
        <v>10000</v>
      </c>
      <c r="L62" s="486">
        <v>0</v>
      </c>
      <c r="M62" s="486">
        <v>0</v>
      </c>
      <c r="N62" s="538"/>
      <c r="O62" s="575">
        <f>SUM(J62:M62)</f>
        <v>20000</v>
      </c>
      <c r="P62" s="493">
        <f>+I62-O62</f>
        <v>180000</v>
      </c>
    </row>
    <row r="63" spans="1:16" s="241" customFormat="1" ht="131.25" x14ac:dyDescent="0.2">
      <c r="A63" s="485"/>
      <c r="B63" s="437" t="s">
        <v>3659</v>
      </c>
      <c r="C63" s="484" t="s">
        <v>3671</v>
      </c>
      <c r="D63" s="484" t="s">
        <v>3672</v>
      </c>
      <c r="E63" s="485" t="s">
        <v>2138</v>
      </c>
      <c r="F63" s="435" t="s">
        <v>19</v>
      </c>
      <c r="G63" s="435" t="s">
        <v>1198</v>
      </c>
      <c r="H63" s="436" t="s">
        <v>3673</v>
      </c>
      <c r="I63" s="542">
        <v>142500</v>
      </c>
      <c r="J63" s="542">
        <v>7125</v>
      </c>
      <c r="K63" s="542">
        <v>7125</v>
      </c>
      <c r="L63" s="542">
        <v>7125</v>
      </c>
      <c r="M63" s="542">
        <v>7125</v>
      </c>
      <c r="N63" s="585"/>
      <c r="O63" s="796">
        <f>SUM(J63:M63)</f>
        <v>28500</v>
      </c>
      <c r="P63" s="542">
        <f>+I63-(SUM(J63:N63))</f>
        <v>114000</v>
      </c>
    </row>
    <row r="64" spans="1:16" s="440" customFormat="1" x14ac:dyDescent="0.2">
      <c r="A64" s="438"/>
      <c r="B64" s="437"/>
      <c r="C64" s="439"/>
      <c r="D64" s="439"/>
      <c r="E64" s="435"/>
      <c r="F64" s="435"/>
      <c r="G64" s="435"/>
      <c r="H64" s="436"/>
      <c r="I64" s="486"/>
      <c r="J64" s="486"/>
      <c r="K64" s="486"/>
      <c r="L64" s="486"/>
      <c r="M64" s="486"/>
      <c r="N64" s="538"/>
      <c r="O64" s="575"/>
      <c r="P64" s="493"/>
    </row>
    <row r="65" spans="1:16" s="440" customFormat="1" x14ac:dyDescent="0.2">
      <c r="A65" s="388" t="s">
        <v>117</v>
      </c>
      <c r="B65" s="389"/>
      <c r="C65" s="390"/>
      <c r="D65" s="390"/>
      <c r="E65" s="391"/>
      <c r="F65" s="391"/>
      <c r="G65" s="391"/>
      <c r="H65" s="392"/>
      <c r="I65" s="393">
        <f>SUM(I66:I71)</f>
        <v>1222000</v>
      </c>
      <c r="J65" s="393">
        <f t="shared" ref="J65:P65" si="14">SUM(J66:J71)</f>
        <v>61100</v>
      </c>
      <c r="K65" s="393">
        <f t="shared" si="14"/>
        <v>61100</v>
      </c>
      <c r="L65" s="393">
        <f t="shared" si="14"/>
        <v>0</v>
      </c>
      <c r="M65" s="393">
        <f t="shared" si="14"/>
        <v>0</v>
      </c>
      <c r="N65" s="584"/>
      <c r="O65" s="527">
        <f>SUM(O66:O71)</f>
        <v>122200</v>
      </c>
      <c r="P65" s="393">
        <f t="shared" si="14"/>
        <v>1099800</v>
      </c>
    </row>
    <row r="66" spans="1:16" s="571" customFormat="1" ht="93.75" x14ac:dyDescent="0.2">
      <c r="A66" s="528"/>
      <c r="B66" s="529" t="s">
        <v>3541</v>
      </c>
      <c r="C66" s="570" t="s">
        <v>3514</v>
      </c>
      <c r="D66" s="442" t="s">
        <v>3515</v>
      </c>
      <c r="E66" s="443" t="s">
        <v>115</v>
      </c>
      <c r="F66" s="443" t="s">
        <v>117</v>
      </c>
      <c r="G66" s="443" t="s">
        <v>295</v>
      </c>
      <c r="H66" s="444" t="s">
        <v>1766</v>
      </c>
      <c r="I66" s="493">
        <v>334000</v>
      </c>
      <c r="J66" s="493">
        <v>16700</v>
      </c>
      <c r="K66" s="493">
        <v>16700</v>
      </c>
      <c r="L66" s="493">
        <v>0</v>
      </c>
      <c r="M66" s="493">
        <v>0</v>
      </c>
      <c r="N66" s="538"/>
      <c r="O66" s="575">
        <f>SUM(J66:M66)</f>
        <v>33400</v>
      </c>
      <c r="P66" s="493">
        <f>+I66-O66</f>
        <v>300600</v>
      </c>
    </row>
    <row r="67" spans="1:16" s="571" customFormat="1" ht="93.75" x14ac:dyDescent="0.2">
      <c r="A67" s="528"/>
      <c r="B67" s="529" t="s">
        <v>3510</v>
      </c>
      <c r="C67" s="570" t="s">
        <v>3516</v>
      </c>
      <c r="D67" s="442" t="s">
        <v>3517</v>
      </c>
      <c r="E67" s="443" t="s">
        <v>302</v>
      </c>
      <c r="F67" s="443" t="s">
        <v>117</v>
      </c>
      <c r="G67" s="443" t="s">
        <v>3542</v>
      </c>
      <c r="H67" s="444" t="s">
        <v>1766</v>
      </c>
      <c r="I67" s="493">
        <v>565000</v>
      </c>
      <c r="J67" s="493">
        <v>28250</v>
      </c>
      <c r="K67" s="493">
        <v>28250</v>
      </c>
      <c r="L67" s="493">
        <v>0</v>
      </c>
      <c r="M67" s="493">
        <v>0</v>
      </c>
      <c r="N67" s="538"/>
      <c r="O67" s="575">
        <f>SUM(J67:M67)</f>
        <v>56500</v>
      </c>
      <c r="P67" s="493">
        <f>+I67-O67</f>
        <v>508500</v>
      </c>
    </row>
    <row r="68" spans="1:16" s="571" customFormat="1" ht="112.5" x14ac:dyDescent="0.2">
      <c r="A68" s="528"/>
      <c r="B68" s="529" t="s">
        <v>3510</v>
      </c>
      <c r="C68" s="570" t="s">
        <v>3518</v>
      </c>
      <c r="D68" s="442" t="s">
        <v>3519</v>
      </c>
      <c r="E68" s="443" t="s">
        <v>302</v>
      </c>
      <c r="F68" s="443" t="s">
        <v>117</v>
      </c>
      <c r="G68" s="443" t="s">
        <v>345</v>
      </c>
      <c r="H68" s="444" t="s">
        <v>3543</v>
      </c>
      <c r="I68" s="493">
        <v>105000</v>
      </c>
      <c r="J68" s="493">
        <v>5250</v>
      </c>
      <c r="K68" s="493">
        <v>5250</v>
      </c>
      <c r="L68" s="493">
        <v>0</v>
      </c>
      <c r="M68" s="493">
        <v>0</v>
      </c>
      <c r="N68" s="538"/>
      <c r="O68" s="575">
        <f>SUM(J68:M68)</f>
        <v>10500</v>
      </c>
      <c r="P68" s="493">
        <f>+I68-O68</f>
        <v>94500</v>
      </c>
    </row>
    <row r="69" spans="1:16" s="571" customFormat="1" ht="93.75" x14ac:dyDescent="0.2">
      <c r="A69" s="528"/>
      <c r="B69" s="529">
        <v>244333</v>
      </c>
      <c r="C69" s="570" t="s">
        <v>3544</v>
      </c>
      <c r="D69" s="442" t="s">
        <v>3545</v>
      </c>
      <c r="E69" s="443" t="s">
        <v>302</v>
      </c>
      <c r="F69" s="443" t="s">
        <v>117</v>
      </c>
      <c r="G69" s="443" t="s">
        <v>444</v>
      </c>
      <c r="H69" s="444" t="s">
        <v>1766</v>
      </c>
      <c r="I69" s="493">
        <v>140000</v>
      </c>
      <c r="J69" s="493">
        <v>7000</v>
      </c>
      <c r="K69" s="493">
        <v>7000</v>
      </c>
      <c r="L69" s="493">
        <v>0</v>
      </c>
      <c r="M69" s="493">
        <v>0</v>
      </c>
      <c r="N69" s="538"/>
      <c r="O69" s="575">
        <f>SUM(J69:M69)</f>
        <v>14000</v>
      </c>
      <c r="P69" s="493">
        <f>+I69-O69</f>
        <v>126000</v>
      </c>
    </row>
    <row r="70" spans="1:16" s="571" customFormat="1" ht="93.75" x14ac:dyDescent="0.2">
      <c r="A70" s="528"/>
      <c r="B70" s="529" t="s">
        <v>3564</v>
      </c>
      <c r="C70" s="570" t="s">
        <v>3565</v>
      </c>
      <c r="D70" s="442" t="s">
        <v>3566</v>
      </c>
      <c r="E70" s="443" t="s">
        <v>302</v>
      </c>
      <c r="F70" s="443" t="s">
        <v>117</v>
      </c>
      <c r="G70" s="443" t="s">
        <v>289</v>
      </c>
      <c r="H70" s="444" t="s">
        <v>1766</v>
      </c>
      <c r="I70" s="493">
        <v>78000</v>
      </c>
      <c r="J70" s="493">
        <v>3900</v>
      </c>
      <c r="K70" s="493">
        <v>3900</v>
      </c>
      <c r="L70" s="493">
        <v>0</v>
      </c>
      <c r="M70" s="493">
        <v>0</v>
      </c>
      <c r="N70" s="538"/>
      <c r="O70" s="575">
        <f>SUM(J70:M70)</f>
        <v>7800</v>
      </c>
      <c r="P70" s="493">
        <f>+I70-O70</f>
        <v>70200</v>
      </c>
    </row>
    <row r="71" spans="1:16" s="440" customFormat="1" x14ac:dyDescent="0.2">
      <c r="A71" s="438"/>
      <c r="B71" s="437"/>
      <c r="C71" s="439"/>
      <c r="D71" s="439"/>
      <c r="E71" s="435"/>
      <c r="F71" s="435"/>
      <c r="G71" s="435"/>
      <c r="H71" s="436"/>
      <c r="I71" s="486"/>
      <c r="J71" s="486"/>
      <c r="K71" s="486"/>
      <c r="L71" s="486"/>
      <c r="M71" s="486"/>
      <c r="N71" s="530"/>
      <c r="O71" s="575"/>
      <c r="P71" s="493"/>
    </row>
    <row r="72" spans="1:16" s="440" customFormat="1" x14ac:dyDescent="0.2">
      <c r="A72" s="388" t="s">
        <v>3470</v>
      </c>
      <c r="B72" s="389"/>
      <c r="C72" s="390"/>
      <c r="D72" s="390"/>
      <c r="E72" s="391"/>
      <c r="F72" s="391"/>
      <c r="G72" s="391"/>
      <c r="H72" s="392"/>
      <c r="I72" s="393">
        <f t="shared" ref="I72:P72" si="15">SUM(I73:I74)</f>
        <v>492450</v>
      </c>
      <c r="J72" s="393">
        <f t="shared" si="15"/>
        <v>0</v>
      </c>
      <c r="K72" s="393">
        <f t="shared" si="15"/>
        <v>0</v>
      </c>
      <c r="L72" s="393">
        <f t="shared" si="15"/>
        <v>0</v>
      </c>
      <c r="M72" s="393">
        <f t="shared" si="15"/>
        <v>0</v>
      </c>
      <c r="N72" s="584"/>
      <c r="O72" s="527">
        <f t="shared" si="15"/>
        <v>0</v>
      </c>
      <c r="P72" s="393">
        <f t="shared" si="15"/>
        <v>492450</v>
      </c>
    </row>
    <row r="73" spans="1:16" s="440" customFormat="1" ht="171" customHeight="1" x14ac:dyDescent="0.2">
      <c r="A73" s="438"/>
      <c r="B73" s="437" t="s">
        <v>3585</v>
      </c>
      <c r="C73" s="439" t="s">
        <v>3586</v>
      </c>
      <c r="D73" s="439" t="s">
        <v>3587</v>
      </c>
      <c r="E73" s="435" t="s">
        <v>2896</v>
      </c>
      <c r="F73" s="435" t="s">
        <v>2818</v>
      </c>
      <c r="G73" s="435" t="s">
        <v>1763</v>
      </c>
      <c r="H73" s="436" t="s">
        <v>3619</v>
      </c>
      <c r="I73" s="486">
        <v>492450</v>
      </c>
      <c r="J73" s="486">
        <v>0</v>
      </c>
      <c r="K73" s="486">
        <v>0</v>
      </c>
      <c r="L73" s="486">
        <v>0</v>
      </c>
      <c r="M73" s="486">
        <v>0</v>
      </c>
      <c r="N73" s="538" t="s">
        <v>1786</v>
      </c>
      <c r="O73" s="575">
        <f>SUM(J73:M73)</f>
        <v>0</v>
      </c>
      <c r="P73" s="493">
        <f>+I73-O73</f>
        <v>492450</v>
      </c>
    </row>
    <row r="74" spans="1:16" s="440" customFormat="1" x14ac:dyDescent="0.2">
      <c r="A74" s="438"/>
      <c r="B74" s="437"/>
      <c r="C74" s="439"/>
      <c r="D74" s="439"/>
      <c r="E74" s="435"/>
      <c r="F74" s="435"/>
      <c r="G74" s="435"/>
      <c r="H74" s="436"/>
      <c r="I74" s="486"/>
      <c r="J74" s="486"/>
      <c r="K74" s="486"/>
      <c r="L74" s="486"/>
      <c r="M74" s="486"/>
      <c r="N74" s="538"/>
      <c r="O74" s="575">
        <f>SUM(J74:M74)</f>
        <v>0</v>
      </c>
      <c r="P74" s="493">
        <f>+I74-O74</f>
        <v>0</v>
      </c>
    </row>
    <row r="75" spans="1:16" s="440" customFormat="1" x14ac:dyDescent="0.2">
      <c r="A75" s="388" t="s">
        <v>706</v>
      </c>
      <c r="B75" s="389"/>
      <c r="C75" s="491"/>
      <c r="D75" s="390"/>
      <c r="E75" s="391"/>
      <c r="F75" s="391"/>
      <c r="G75" s="391"/>
      <c r="H75" s="392"/>
      <c r="I75" s="393">
        <f>SUM(I76:I82)</f>
        <v>2019000</v>
      </c>
      <c r="J75" s="393">
        <f>SUM(J76:J82)</f>
        <v>0</v>
      </c>
      <c r="K75" s="393">
        <f>SUM(K76:K82)</f>
        <v>0</v>
      </c>
      <c r="L75" s="393">
        <f>SUM(L76:L82)</f>
        <v>12865</v>
      </c>
      <c r="M75" s="393">
        <f>SUM(M76:M82)</f>
        <v>12865</v>
      </c>
      <c r="N75" s="584"/>
      <c r="O75" s="527">
        <f>SUM(O76:O82)</f>
        <v>25730</v>
      </c>
      <c r="P75" s="393">
        <f>SUM(P76:P82)</f>
        <v>1993270</v>
      </c>
    </row>
    <row r="76" spans="1:16" s="440" customFormat="1" ht="132.75" customHeight="1" x14ac:dyDescent="0.2">
      <c r="A76" s="438"/>
      <c r="B76" s="437">
        <v>244335</v>
      </c>
      <c r="C76" s="439" t="s">
        <v>3546</v>
      </c>
      <c r="D76" s="439" t="s">
        <v>3547</v>
      </c>
      <c r="E76" s="435" t="s">
        <v>2109</v>
      </c>
      <c r="F76" s="435" t="s">
        <v>2209</v>
      </c>
      <c r="G76" s="435" t="s">
        <v>3081</v>
      </c>
      <c r="H76" s="436" t="s">
        <v>3548</v>
      </c>
      <c r="I76" s="486">
        <v>99500</v>
      </c>
      <c r="J76" s="486">
        <v>0</v>
      </c>
      <c r="K76" s="486">
        <v>0</v>
      </c>
      <c r="L76" s="486">
        <v>3475</v>
      </c>
      <c r="M76" s="486">
        <v>3475</v>
      </c>
      <c r="N76" s="538"/>
      <c r="O76" s="575">
        <f t="shared" ref="O76:O81" si="16">SUM(J76:M76)</f>
        <v>6950</v>
      </c>
      <c r="P76" s="493">
        <f>+I76-O76</f>
        <v>92550</v>
      </c>
    </row>
    <row r="77" spans="1:16" s="440" customFormat="1" ht="152.25" customHeight="1" x14ac:dyDescent="0.2">
      <c r="A77" s="438"/>
      <c r="B77" s="437" t="s">
        <v>3567</v>
      </c>
      <c r="C77" s="439" t="s">
        <v>3568</v>
      </c>
      <c r="D77" s="439" t="s">
        <v>3569</v>
      </c>
      <c r="E77" s="435" t="s">
        <v>3084</v>
      </c>
      <c r="F77" s="435" t="s">
        <v>2209</v>
      </c>
      <c r="G77" s="435" t="s">
        <v>1198</v>
      </c>
      <c r="H77" s="436" t="s">
        <v>3570</v>
      </c>
      <c r="I77" s="486">
        <v>475000</v>
      </c>
      <c r="J77" s="486">
        <v>0</v>
      </c>
      <c r="K77" s="486">
        <v>0</v>
      </c>
      <c r="L77" s="486">
        <v>0</v>
      </c>
      <c r="M77" s="486">
        <v>0</v>
      </c>
      <c r="N77" s="538" t="s">
        <v>2987</v>
      </c>
      <c r="O77" s="575">
        <f t="shared" si="16"/>
        <v>0</v>
      </c>
      <c r="P77" s="493">
        <f>+I77-O77</f>
        <v>475000</v>
      </c>
    </row>
    <row r="78" spans="1:16" s="440" customFormat="1" ht="131.25" x14ac:dyDescent="0.2">
      <c r="A78" s="438"/>
      <c r="B78" s="437" t="s">
        <v>3567</v>
      </c>
      <c r="C78" s="439" t="s">
        <v>3571</v>
      </c>
      <c r="D78" s="439" t="s">
        <v>3572</v>
      </c>
      <c r="E78" s="435" t="s">
        <v>2109</v>
      </c>
      <c r="F78" s="435" t="s">
        <v>2209</v>
      </c>
      <c r="G78" s="435" t="s">
        <v>3573</v>
      </c>
      <c r="H78" s="436" t="s">
        <v>3574</v>
      </c>
      <c r="I78" s="486">
        <v>700000</v>
      </c>
      <c r="J78" s="486">
        <v>0</v>
      </c>
      <c r="K78" s="486">
        <v>0</v>
      </c>
      <c r="L78" s="486">
        <v>0</v>
      </c>
      <c r="M78" s="486">
        <v>0</v>
      </c>
      <c r="N78" s="538" t="s">
        <v>1786</v>
      </c>
      <c r="O78" s="575">
        <f t="shared" si="16"/>
        <v>0</v>
      </c>
      <c r="P78" s="493">
        <f>+I78-O78</f>
        <v>700000</v>
      </c>
    </row>
    <row r="79" spans="1:16" s="440" customFormat="1" ht="153" customHeight="1" x14ac:dyDescent="0.2">
      <c r="A79" s="438"/>
      <c r="B79" s="437" t="s">
        <v>3585</v>
      </c>
      <c r="C79" s="439" t="s">
        <v>3586</v>
      </c>
      <c r="D79" s="439" t="s">
        <v>3587</v>
      </c>
      <c r="E79" s="435" t="s">
        <v>1733</v>
      </c>
      <c r="F79" s="435" t="s">
        <v>706</v>
      </c>
      <c r="G79" s="435" t="s">
        <v>1763</v>
      </c>
      <c r="H79" s="436" t="s">
        <v>3623</v>
      </c>
      <c r="I79" s="486">
        <v>381600</v>
      </c>
      <c r="J79" s="486">
        <v>0</v>
      </c>
      <c r="K79" s="486">
        <v>0</v>
      </c>
      <c r="L79" s="486">
        <v>0</v>
      </c>
      <c r="M79" s="486">
        <v>0</v>
      </c>
      <c r="N79" s="538" t="s">
        <v>1786</v>
      </c>
      <c r="O79" s="575">
        <f>SUM(J79:M79)</f>
        <v>0</v>
      </c>
      <c r="P79" s="493">
        <f>+I79-O79</f>
        <v>381600</v>
      </c>
    </row>
    <row r="80" spans="1:16" s="440" customFormat="1" ht="134.25" customHeight="1" x14ac:dyDescent="0.2">
      <c r="A80" s="438"/>
      <c r="B80" s="437" t="s">
        <v>3593</v>
      </c>
      <c r="C80" s="439" t="s">
        <v>3620</v>
      </c>
      <c r="D80" s="439" t="s">
        <v>3621</v>
      </c>
      <c r="E80" s="435" t="s">
        <v>3084</v>
      </c>
      <c r="F80" s="435" t="s">
        <v>706</v>
      </c>
      <c r="G80" s="435" t="s">
        <v>1144</v>
      </c>
      <c r="H80" s="436" t="s">
        <v>3622</v>
      </c>
      <c r="I80" s="486">
        <v>266000</v>
      </c>
      <c r="J80" s="486">
        <v>0</v>
      </c>
      <c r="K80" s="486">
        <v>0</v>
      </c>
      <c r="L80" s="486">
        <v>5025</v>
      </c>
      <c r="M80" s="486">
        <v>5025</v>
      </c>
      <c r="N80" s="538"/>
      <c r="O80" s="575">
        <f t="shared" si="16"/>
        <v>10050</v>
      </c>
      <c r="P80" s="493">
        <f>+I80-O80</f>
        <v>255950</v>
      </c>
    </row>
    <row r="81" spans="1:17" s="241" customFormat="1" ht="112.5" x14ac:dyDescent="0.2">
      <c r="A81" s="485"/>
      <c r="B81" s="437" t="s">
        <v>3652</v>
      </c>
      <c r="C81" s="484" t="s">
        <v>3674</v>
      </c>
      <c r="D81" s="484" t="s">
        <v>3675</v>
      </c>
      <c r="E81" s="485" t="s">
        <v>1733</v>
      </c>
      <c r="F81" s="435" t="s">
        <v>706</v>
      </c>
      <c r="G81" s="435" t="s">
        <v>1144</v>
      </c>
      <c r="H81" s="436" t="s">
        <v>3676</v>
      </c>
      <c r="I81" s="542">
        <v>96900</v>
      </c>
      <c r="J81" s="542">
        <v>0</v>
      </c>
      <c r="K81" s="542">
        <v>0</v>
      </c>
      <c r="L81" s="542">
        <v>4365</v>
      </c>
      <c r="M81" s="542">
        <v>4365</v>
      </c>
      <c r="N81" s="585"/>
      <c r="O81" s="796">
        <f t="shared" si="16"/>
        <v>8730</v>
      </c>
      <c r="P81" s="542">
        <f>+I81-(SUM(J81:N81))</f>
        <v>88170</v>
      </c>
    </row>
    <row r="82" spans="1:17" s="440" customFormat="1" x14ac:dyDescent="0.2">
      <c r="A82" s="438"/>
      <c r="B82" s="437"/>
      <c r="C82" s="439"/>
      <c r="D82" s="439"/>
      <c r="E82" s="435"/>
      <c r="F82" s="435"/>
      <c r="G82" s="435"/>
      <c r="H82" s="436"/>
      <c r="I82" s="486"/>
      <c r="J82" s="486"/>
      <c r="K82" s="486"/>
      <c r="L82" s="486"/>
      <c r="M82" s="486"/>
      <c r="N82" s="530"/>
      <c r="O82" s="575"/>
      <c r="P82" s="493"/>
    </row>
    <row r="83" spans="1:17" s="440" customFormat="1" x14ac:dyDescent="0.2">
      <c r="A83" s="441" t="s">
        <v>526</v>
      </c>
      <c r="B83" s="389"/>
      <c r="C83" s="390"/>
      <c r="D83" s="390"/>
      <c r="E83" s="391"/>
      <c r="F83" s="391"/>
      <c r="G83" s="391"/>
      <c r="H83" s="392"/>
      <c r="I83" s="393">
        <f t="shared" ref="I83:P83" si="17">SUM(I84:I86)</f>
        <v>154500</v>
      </c>
      <c r="J83" s="393">
        <f t="shared" si="17"/>
        <v>2500</v>
      </c>
      <c r="K83" s="393">
        <f t="shared" si="17"/>
        <v>2500</v>
      </c>
      <c r="L83" s="393">
        <f t="shared" si="17"/>
        <v>5225</v>
      </c>
      <c r="M83" s="393">
        <f t="shared" si="17"/>
        <v>5225</v>
      </c>
      <c r="N83" s="584"/>
      <c r="O83" s="527">
        <f t="shared" si="17"/>
        <v>15450</v>
      </c>
      <c r="P83" s="393">
        <f t="shared" si="17"/>
        <v>139050</v>
      </c>
    </row>
    <row r="84" spans="1:17" s="569" customFormat="1" ht="99" customHeight="1" x14ac:dyDescent="0.2">
      <c r="A84" s="438"/>
      <c r="B84" s="437" t="s">
        <v>3507</v>
      </c>
      <c r="C84" s="484" t="s">
        <v>3520</v>
      </c>
      <c r="D84" s="439" t="s">
        <v>3549</v>
      </c>
      <c r="E84" s="435" t="s">
        <v>529</v>
      </c>
      <c r="F84" s="435" t="s">
        <v>526</v>
      </c>
      <c r="G84" s="435" t="s">
        <v>3550</v>
      </c>
      <c r="H84" s="436" t="s">
        <v>3551</v>
      </c>
      <c r="I84" s="486">
        <v>50000</v>
      </c>
      <c r="J84" s="486">
        <v>2500</v>
      </c>
      <c r="K84" s="486">
        <v>2500</v>
      </c>
      <c r="L84" s="486">
        <v>0</v>
      </c>
      <c r="M84" s="486">
        <v>0</v>
      </c>
      <c r="N84" s="538"/>
      <c r="O84" s="575">
        <f>SUM(J84:M84)</f>
        <v>5000</v>
      </c>
      <c r="P84" s="493">
        <f>+I84-O84</f>
        <v>45000</v>
      </c>
    </row>
    <row r="85" spans="1:17" s="569" customFormat="1" ht="117" customHeight="1" x14ac:dyDescent="0.2">
      <c r="A85" s="438"/>
      <c r="B85" s="437" t="s">
        <v>3575</v>
      </c>
      <c r="C85" s="484" t="s">
        <v>3624</v>
      </c>
      <c r="D85" s="439" t="s">
        <v>3625</v>
      </c>
      <c r="E85" s="435" t="s">
        <v>3062</v>
      </c>
      <c r="F85" s="435" t="s">
        <v>923</v>
      </c>
      <c r="G85" s="435" t="s">
        <v>1144</v>
      </c>
      <c r="H85" s="436" t="s">
        <v>3626</v>
      </c>
      <c r="I85" s="486">
        <v>104500</v>
      </c>
      <c r="J85" s="486">
        <v>0</v>
      </c>
      <c r="K85" s="486">
        <v>0</v>
      </c>
      <c r="L85" s="486">
        <v>5225</v>
      </c>
      <c r="M85" s="486">
        <v>5225</v>
      </c>
      <c r="N85" s="538"/>
      <c r="O85" s="575">
        <f>SUM(J85:M85)</f>
        <v>10450</v>
      </c>
      <c r="P85" s="493">
        <f>+I85-O85</f>
        <v>94050</v>
      </c>
    </row>
    <row r="86" spans="1:17" s="440" customFormat="1" x14ac:dyDescent="0.2">
      <c r="A86" s="438"/>
      <c r="B86" s="437"/>
      <c r="C86" s="442"/>
      <c r="D86" s="439"/>
      <c r="E86" s="443"/>
      <c r="F86" s="443"/>
      <c r="G86" s="443"/>
      <c r="H86" s="444"/>
      <c r="I86" s="486"/>
      <c r="J86" s="486"/>
      <c r="K86" s="486"/>
      <c r="L86" s="493"/>
      <c r="M86" s="493"/>
      <c r="N86" s="538"/>
      <c r="O86" s="575"/>
      <c r="P86" s="493"/>
    </row>
    <row r="87" spans="1:17" s="440" customFormat="1" x14ac:dyDescent="0.2">
      <c r="A87" s="388" t="s">
        <v>2554</v>
      </c>
      <c r="B87" s="389"/>
      <c r="C87" s="390"/>
      <c r="D87" s="390"/>
      <c r="E87" s="391"/>
      <c r="F87" s="391"/>
      <c r="G87" s="391"/>
      <c r="H87" s="392"/>
      <c r="I87" s="393">
        <f t="shared" ref="I87:P87" si="18">SUM(I88:I89)</f>
        <v>1221282</v>
      </c>
      <c r="J87" s="393">
        <f t="shared" si="18"/>
        <v>0</v>
      </c>
      <c r="K87" s="393">
        <f t="shared" si="18"/>
        <v>0</v>
      </c>
      <c r="L87" s="393">
        <f t="shared" si="18"/>
        <v>0</v>
      </c>
      <c r="M87" s="393">
        <f t="shared" si="18"/>
        <v>0</v>
      </c>
      <c r="N87" s="584"/>
      <c r="O87" s="527">
        <f t="shared" si="18"/>
        <v>0</v>
      </c>
      <c r="P87" s="393">
        <f t="shared" si="18"/>
        <v>1221282</v>
      </c>
    </row>
    <row r="88" spans="1:17" s="440" customFormat="1" ht="230.25" customHeight="1" x14ac:dyDescent="0.2">
      <c r="A88" s="438"/>
      <c r="B88" s="437" t="s">
        <v>3585</v>
      </c>
      <c r="C88" s="439" t="s">
        <v>3586</v>
      </c>
      <c r="D88" s="439" t="s">
        <v>3587</v>
      </c>
      <c r="E88" s="435" t="s">
        <v>1251</v>
      </c>
      <c r="F88" s="435" t="s">
        <v>3121</v>
      </c>
      <c r="G88" s="435" t="s">
        <v>1763</v>
      </c>
      <c r="H88" s="436" t="s">
        <v>3627</v>
      </c>
      <c r="I88" s="486">
        <v>1221282</v>
      </c>
      <c r="J88" s="486">
        <v>0</v>
      </c>
      <c r="K88" s="486">
        <v>0</v>
      </c>
      <c r="L88" s="486">
        <v>0</v>
      </c>
      <c r="M88" s="486">
        <v>0</v>
      </c>
      <c r="N88" s="538" t="s">
        <v>1786</v>
      </c>
      <c r="O88" s="575">
        <f>SUM(J88:M88)</f>
        <v>0</v>
      </c>
      <c r="P88" s="493">
        <f>+I88-O88</f>
        <v>1221282</v>
      </c>
    </row>
    <row r="89" spans="1:17" s="440" customFormat="1" x14ac:dyDescent="0.2">
      <c r="A89" s="438"/>
      <c r="B89" s="437"/>
      <c r="C89" s="439"/>
      <c r="D89" s="439"/>
      <c r="E89" s="435"/>
      <c r="F89" s="435"/>
      <c r="G89" s="435"/>
      <c r="H89" s="436"/>
      <c r="I89" s="486"/>
      <c r="J89" s="486"/>
      <c r="K89" s="486"/>
      <c r="L89" s="486"/>
      <c r="M89" s="486"/>
      <c r="N89" s="538"/>
      <c r="O89" s="575">
        <f>SUM(J89:M89)</f>
        <v>0</v>
      </c>
      <c r="P89" s="493">
        <f>+I89-O89</f>
        <v>0</v>
      </c>
    </row>
    <row r="90" spans="1:17" s="440" customFormat="1" hidden="1" x14ac:dyDescent="0.2">
      <c r="A90" s="388" t="s">
        <v>2149</v>
      </c>
      <c r="B90" s="526"/>
      <c r="C90" s="445"/>
      <c r="D90" s="445"/>
      <c r="E90" s="391"/>
      <c r="F90" s="446"/>
      <c r="G90" s="446"/>
      <c r="H90" s="447"/>
      <c r="I90" s="527">
        <f>SUM(I91)</f>
        <v>0</v>
      </c>
      <c r="J90" s="527">
        <f t="shared" ref="J90:P90" si="19">SUM(J91)</f>
        <v>0</v>
      </c>
      <c r="K90" s="527">
        <f t="shared" si="19"/>
        <v>0</v>
      </c>
      <c r="L90" s="527">
        <f t="shared" si="19"/>
        <v>0</v>
      </c>
      <c r="M90" s="527">
        <f t="shared" si="19"/>
        <v>0</v>
      </c>
      <c r="N90" s="584">
        <f t="shared" si="19"/>
        <v>0</v>
      </c>
      <c r="O90" s="527">
        <f t="shared" si="19"/>
        <v>0</v>
      </c>
      <c r="P90" s="527">
        <f t="shared" si="19"/>
        <v>0</v>
      </c>
      <c r="Q90" s="488"/>
    </row>
    <row r="91" spans="1:17" s="440" customFormat="1" hidden="1" x14ac:dyDescent="0.2">
      <c r="A91" s="438"/>
      <c r="B91" s="437"/>
      <c r="C91" s="439"/>
      <c r="D91" s="439"/>
      <c r="E91" s="435"/>
      <c r="F91" s="435"/>
      <c r="G91" s="435"/>
      <c r="H91" s="436"/>
      <c r="I91" s="486"/>
      <c r="J91" s="486"/>
      <c r="K91" s="486"/>
      <c r="L91" s="486"/>
      <c r="M91" s="486"/>
      <c r="N91" s="538"/>
      <c r="O91" s="575">
        <f>SUM(J91:M91)</f>
        <v>0</v>
      </c>
      <c r="P91" s="493">
        <f>+I91-O91</f>
        <v>0</v>
      </c>
    </row>
    <row r="92" spans="1:17" s="440" customFormat="1" hidden="1" x14ac:dyDescent="0.2">
      <c r="A92" s="388" t="s">
        <v>2467</v>
      </c>
      <c r="B92" s="389"/>
      <c r="C92" s="390"/>
      <c r="D92" s="390"/>
      <c r="E92" s="391"/>
      <c r="F92" s="391"/>
      <c r="G92" s="391"/>
      <c r="H92" s="392"/>
      <c r="I92" s="393">
        <f t="shared" ref="I92:P92" si="20">SUM(I93:I94)</f>
        <v>0</v>
      </c>
      <c r="J92" s="393">
        <f t="shared" si="20"/>
        <v>0</v>
      </c>
      <c r="K92" s="393">
        <f t="shared" si="20"/>
        <v>0</v>
      </c>
      <c r="L92" s="393">
        <f t="shared" si="20"/>
        <v>0</v>
      </c>
      <c r="M92" s="393">
        <f t="shared" si="20"/>
        <v>0</v>
      </c>
      <c r="N92" s="584">
        <f t="shared" si="20"/>
        <v>0</v>
      </c>
      <c r="O92" s="527">
        <f t="shared" si="20"/>
        <v>0</v>
      </c>
      <c r="P92" s="393">
        <f t="shared" si="20"/>
        <v>0</v>
      </c>
    </row>
    <row r="93" spans="1:17" s="440" customFormat="1" hidden="1" x14ac:dyDescent="0.2">
      <c r="A93" s="438"/>
      <c r="B93" s="437"/>
      <c r="C93" s="439"/>
      <c r="D93" s="439"/>
      <c r="E93" s="435"/>
      <c r="F93" s="435"/>
      <c r="G93" s="435"/>
      <c r="H93" s="436"/>
      <c r="I93" s="486"/>
      <c r="J93" s="486"/>
      <c r="K93" s="486"/>
      <c r="L93" s="486"/>
      <c r="M93" s="486"/>
      <c r="N93" s="538"/>
      <c r="O93" s="575">
        <f>SUM(J93:M93)</f>
        <v>0</v>
      </c>
      <c r="P93" s="493">
        <f>+I93-O93</f>
        <v>0</v>
      </c>
    </row>
    <row r="94" spans="1:17" s="440" customFormat="1" hidden="1" x14ac:dyDescent="0.2">
      <c r="A94" s="438"/>
      <c r="B94" s="437"/>
      <c r="C94" s="439"/>
      <c r="D94" s="439"/>
      <c r="E94" s="435"/>
      <c r="F94" s="435"/>
      <c r="G94" s="435"/>
      <c r="H94" s="436"/>
      <c r="I94" s="486"/>
      <c r="J94" s="486"/>
      <c r="K94" s="486"/>
      <c r="L94" s="486"/>
      <c r="M94" s="486"/>
      <c r="N94" s="538"/>
      <c r="O94" s="575">
        <f>SUM(J94:M94)</f>
        <v>0</v>
      </c>
      <c r="P94" s="493">
        <f>+I94-O94</f>
        <v>0</v>
      </c>
    </row>
    <row r="95" spans="1:17" s="440" customFormat="1" hidden="1" x14ac:dyDescent="0.2">
      <c r="A95" s="388" t="s">
        <v>2555</v>
      </c>
      <c r="B95" s="389"/>
      <c r="C95" s="390"/>
      <c r="D95" s="390"/>
      <c r="E95" s="391"/>
      <c r="F95" s="391"/>
      <c r="G95" s="391"/>
      <c r="H95" s="392"/>
      <c r="I95" s="393">
        <f>SUM(I96:I97)</f>
        <v>0</v>
      </c>
      <c r="J95" s="393">
        <f t="shared" ref="J95:P95" si="21">SUM(J96:J97)</f>
        <v>0</v>
      </c>
      <c r="K95" s="393">
        <f t="shared" si="21"/>
        <v>0</v>
      </c>
      <c r="L95" s="393">
        <f t="shared" si="21"/>
        <v>0</v>
      </c>
      <c r="M95" s="393">
        <f t="shared" si="21"/>
        <v>0</v>
      </c>
      <c r="N95" s="584">
        <f t="shared" si="21"/>
        <v>0</v>
      </c>
      <c r="O95" s="527">
        <f t="shared" si="21"/>
        <v>0</v>
      </c>
      <c r="P95" s="393">
        <f t="shared" si="21"/>
        <v>0</v>
      </c>
    </row>
    <row r="96" spans="1:17" s="440" customFormat="1" hidden="1" x14ac:dyDescent="0.2">
      <c r="A96" s="438"/>
      <c r="B96" s="437"/>
      <c r="C96" s="439"/>
      <c r="D96" s="439"/>
      <c r="E96" s="435"/>
      <c r="F96" s="435"/>
      <c r="G96" s="435"/>
      <c r="H96" s="436"/>
      <c r="I96" s="486"/>
      <c r="J96" s="486"/>
      <c r="K96" s="486"/>
      <c r="L96" s="486"/>
      <c r="M96" s="486"/>
      <c r="N96" s="538"/>
      <c r="O96" s="575">
        <f>SUM(J96:M96)</f>
        <v>0</v>
      </c>
      <c r="P96" s="493">
        <f>+I96-O96</f>
        <v>0</v>
      </c>
    </row>
    <row r="97" spans="1:17" s="328" customFormat="1" hidden="1" x14ac:dyDescent="0.4">
      <c r="A97" s="438"/>
      <c r="B97" s="437"/>
      <c r="C97" s="439"/>
      <c r="D97" s="439"/>
      <c r="E97" s="435"/>
      <c r="F97" s="435"/>
      <c r="G97" s="435"/>
      <c r="H97" s="436"/>
      <c r="I97" s="486"/>
      <c r="J97" s="486"/>
      <c r="K97" s="486"/>
      <c r="L97" s="486"/>
      <c r="M97" s="486"/>
      <c r="N97" s="538"/>
      <c r="O97" s="575">
        <f>SUM(J97:M97)</f>
        <v>0</v>
      </c>
      <c r="P97" s="493">
        <f>+I97-O97</f>
        <v>0</v>
      </c>
      <c r="Q97" s="440"/>
    </row>
    <row r="98" spans="1:17" s="543" customFormat="1" hidden="1" x14ac:dyDescent="0.2">
      <c r="A98" s="540"/>
      <c r="B98" s="541"/>
      <c r="C98" s="438"/>
      <c r="D98" s="438"/>
      <c r="E98" s="435"/>
      <c r="F98" s="436"/>
      <c r="G98" s="436"/>
      <c r="H98" s="436"/>
      <c r="I98" s="542"/>
      <c r="J98" s="542"/>
      <c r="K98" s="542"/>
      <c r="L98" s="542"/>
      <c r="M98" s="542"/>
      <c r="N98" s="530"/>
      <c r="O98" s="575">
        <f>SUM(J98:M98)</f>
        <v>0</v>
      </c>
      <c r="P98" s="493">
        <f>+I98-O98</f>
        <v>0</v>
      </c>
    </row>
    <row r="99" spans="1:17" s="386" customFormat="1" ht="23.25" customHeight="1" thickBot="1" x14ac:dyDescent="0.45">
      <c r="A99" s="639" t="s">
        <v>1919</v>
      </c>
      <c r="B99" s="639"/>
      <c r="C99" s="639"/>
      <c r="D99" s="639"/>
      <c r="E99" s="639"/>
      <c r="F99" s="639"/>
      <c r="G99" s="639"/>
      <c r="H99" s="639"/>
      <c r="I99" s="572">
        <f>SUM(I8+I18+I21+I26+I40+I43+I51+I57+I60+I65+I72+I75+I87+I83+I90+I92+I95)</f>
        <v>11529923.27</v>
      </c>
      <c r="J99" s="572">
        <f>SUM(J8+J18+J21+J26+J40+J43+J51+J57+J60+J65+J72+J75+J87+J83+J90+J92+J95)</f>
        <v>133356.04999999999</v>
      </c>
      <c r="K99" s="572">
        <f>SUM(K8+K18+K21+K26+K40+K43+K51+K57+K60+K65+K72+K75+K87+K83+K90+K92+K95)</f>
        <v>133356.04999999999</v>
      </c>
      <c r="L99" s="572">
        <f>SUM(L8+L18+L21+L26+L40+L43+L51+L57+L60+L65+L72+L75+L87+L83+L90+L92+L95)</f>
        <v>164144.75</v>
      </c>
      <c r="M99" s="572">
        <f>SUM(M8+M18+M21+M26+M40+M43+M51+M57+M60+M65+M72+M75+M87+M83+M90+M92+M95)</f>
        <v>164144.75</v>
      </c>
      <c r="N99" s="586"/>
      <c r="O99" s="797">
        <f>SUM(O8+O18+O21+O26+O40+O43+O51+O57+O60+O65+O72+O75+O87+O83+O90+O92+O95)</f>
        <v>595001.60000000009</v>
      </c>
      <c r="P99" s="572">
        <f>SUM(P8+P18+P21+P26+P40+P43+P51+P57+P60+P65+P72+P75+P87+P83+P90+P92+P95)</f>
        <v>10934921.67</v>
      </c>
    </row>
    <row r="100" spans="1:17" s="328" customFormat="1" ht="19.5" thickTop="1" x14ac:dyDescent="0.4">
      <c r="A100" s="366"/>
      <c r="B100" s="367"/>
      <c r="C100" s="329"/>
      <c r="D100" s="329"/>
      <c r="E100" s="331"/>
      <c r="F100" s="332"/>
      <c r="G100" s="332"/>
      <c r="H100" s="332"/>
      <c r="I100" s="369"/>
      <c r="N100" s="545"/>
      <c r="O100" s="521"/>
    </row>
    <row r="101" spans="1:17" s="801" customFormat="1" ht="20.100000000000001" customHeight="1" x14ac:dyDescent="0.2">
      <c r="A101" s="799"/>
      <c r="B101" s="799"/>
      <c r="C101" s="799"/>
      <c r="D101" s="799"/>
      <c r="E101" s="799"/>
      <c r="F101" s="799"/>
      <c r="G101" s="799"/>
      <c r="H101" s="799"/>
      <c r="I101" s="800"/>
      <c r="J101" s="800"/>
      <c r="K101" s="800"/>
      <c r="L101" s="800"/>
      <c r="M101" s="800"/>
      <c r="N101" s="547"/>
      <c r="O101" s="582"/>
      <c r="P101" s="800"/>
    </row>
    <row r="102" spans="1:17" s="806" customFormat="1" x14ac:dyDescent="0.4">
      <c r="A102" s="802"/>
      <c r="B102" s="803"/>
      <c r="C102" s="804"/>
      <c r="D102" s="804"/>
      <c r="E102" s="805"/>
      <c r="F102" s="576"/>
      <c r="G102" s="576"/>
      <c r="H102" s="576"/>
      <c r="I102" s="798"/>
      <c r="N102" s="556"/>
      <c r="O102" s="576"/>
    </row>
    <row r="103" spans="1:17" s="806" customFormat="1" x14ac:dyDescent="0.4">
      <c r="A103" s="802"/>
      <c r="B103" s="803"/>
      <c r="C103" s="804"/>
      <c r="D103" s="804"/>
      <c r="E103" s="805"/>
      <c r="F103" s="576"/>
      <c r="G103" s="576"/>
      <c r="H103" s="576"/>
      <c r="I103" s="798"/>
      <c r="J103" s="798"/>
      <c r="K103" s="798"/>
      <c r="L103" s="798"/>
      <c r="M103" s="798"/>
      <c r="N103" s="557"/>
      <c r="O103" s="798"/>
      <c r="P103" s="798"/>
    </row>
  </sheetData>
  <mergeCells count="20">
    <mergeCell ref="A1:P1"/>
    <mergeCell ref="A2:P2"/>
    <mergeCell ref="A3:P3"/>
    <mergeCell ref="J5:O5"/>
    <mergeCell ref="P5:P7"/>
    <mergeCell ref="O6:O7"/>
    <mergeCell ref="A5:A7"/>
    <mergeCell ref="B5:I5"/>
    <mergeCell ref="B6:B7"/>
    <mergeCell ref="C6:C7"/>
    <mergeCell ref="D6:D7"/>
    <mergeCell ref="L6:N6"/>
    <mergeCell ref="I6:I7"/>
    <mergeCell ref="J6:K6"/>
    <mergeCell ref="A101:H101"/>
    <mergeCell ref="E6:E7"/>
    <mergeCell ref="F6:F7"/>
    <mergeCell ref="G6:G7"/>
    <mergeCell ref="H6:H7"/>
    <mergeCell ref="A99:H9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Normal="100" workbookViewId="0">
      <selection activeCell="E26" sqref="E26"/>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7" t="s">
        <v>2495</v>
      </c>
      <c r="C1" s="587"/>
      <c r="D1" s="587"/>
      <c r="E1" s="587"/>
      <c r="F1" s="587"/>
      <c r="G1" s="587"/>
      <c r="H1" s="587"/>
      <c r="I1" s="587"/>
      <c r="J1" s="587"/>
      <c r="K1" s="587"/>
      <c r="L1" s="587"/>
      <c r="M1" s="587"/>
      <c r="N1" s="587"/>
      <c r="O1" s="587"/>
    </row>
    <row r="2" spans="1:18" s="405" customFormat="1" x14ac:dyDescent="0.5">
      <c r="B2" s="587" t="s">
        <v>2496</v>
      </c>
      <c r="C2" s="587"/>
      <c r="D2" s="587"/>
      <c r="E2" s="587"/>
      <c r="F2" s="587"/>
      <c r="G2" s="587"/>
      <c r="H2" s="587"/>
      <c r="I2" s="587"/>
      <c r="J2" s="587"/>
      <c r="K2" s="587"/>
      <c r="L2" s="587"/>
      <c r="M2" s="587"/>
      <c r="N2" s="587"/>
      <c r="O2" s="587"/>
    </row>
    <row r="3" spans="1:18" s="405" customFormat="1" x14ac:dyDescent="0.5">
      <c r="B3" s="588" t="s">
        <v>2912</v>
      </c>
      <c r="C3" s="588"/>
      <c r="D3" s="588"/>
      <c r="E3" s="588"/>
      <c r="F3" s="588"/>
      <c r="G3" s="588"/>
      <c r="H3" s="588"/>
      <c r="I3" s="588"/>
      <c r="J3" s="588"/>
      <c r="K3" s="588"/>
      <c r="L3" s="588"/>
      <c r="M3" s="588"/>
      <c r="N3" s="588"/>
      <c r="O3" s="588"/>
    </row>
    <row r="4" spans="1:18" s="405" customFormat="1" x14ac:dyDescent="0.5">
      <c r="A4" s="558"/>
      <c r="B4" s="558"/>
      <c r="C4" s="558"/>
      <c r="D4" s="558"/>
      <c r="E4" s="558"/>
      <c r="F4" s="558"/>
      <c r="G4" s="558"/>
      <c r="H4" s="558"/>
      <c r="I4" s="558"/>
      <c r="J4" s="558"/>
      <c r="K4" s="558"/>
      <c r="L4" s="558"/>
      <c r="M4" s="558"/>
      <c r="N4" s="558"/>
      <c r="O4" s="558"/>
    </row>
    <row r="5" spans="1:18" s="406" customFormat="1" ht="21" x14ac:dyDescent="0.45">
      <c r="A5" s="589" t="s">
        <v>2497</v>
      </c>
      <c r="B5" s="591" t="s">
        <v>1915</v>
      </c>
      <c r="C5" s="592" t="s">
        <v>2498</v>
      </c>
      <c r="D5" s="593"/>
      <c r="E5" s="593"/>
      <c r="F5" s="593"/>
      <c r="G5" s="593"/>
      <c r="H5" s="593"/>
      <c r="I5" s="593"/>
      <c r="J5" s="593"/>
      <c r="K5" s="593"/>
      <c r="L5" s="593"/>
      <c r="M5" s="593"/>
      <c r="N5" s="594"/>
      <c r="O5" s="595" t="s">
        <v>1919</v>
      </c>
    </row>
    <row r="6" spans="1:18" s="406" customFormat="1" ht="21" x14ac:dyDescent="0.45">
      <c r="A6" s="590"/>
      <c r="B6" s="591"/>
      <c r="C6" s="407" t="s">
        <v>2913</v>
      </c>
      <c r="D6" s="407" t="s">
        <v>2914</v>
      </c>
      <c r="E6" s="407" t="s">
        <v>2915</v>
      </c>
      <c r="F6" s="407" t="s">
        <v>2916</v>
      </c>
      <c r="G6" s="407" t="s">
        <v>2917</v>
      </c>
      <c r="H6" s="407" t="s">
        <v>2918</v>
      </c>
      <c r="I6" s="407" t="s">
        <v>2919</v>
      </c>
      <c r="J6" s="407" t="s">
        <v>2920</v>
      </c>
      <c r="K6" s="407" t="s">
        <v>2921</v>
      </c>
      <c r="L6" s="407" t="s">
        <v>2922</v>
      </c>
      <c r="M6" s="407" t="s">
        <v>2923</v>
      </c>
      <c r="N6" s="407" t="s">
        <v>2924</v>
      </c>
      <c r="O6" s="596"/>
    </row>
    <row r="7" spans="1:18" s="409" customFormat="1" ht="21" x14ac:dyDescent="0.45">
      <c r="A7" s="311">
        <v>1</v>
      </c>
      <c r="B7" s="308" t="s">
        <v>1186</v>
      </c>
      <c r="C7" s="187">
        <v>0</v>
      </c>
      <c r="D7" s="187">
        <v>0</v>
      </c>
      <c r="E7" s="187">
        <v>81000</v>
      </c>
      <c r="F7" s="187">
        <v>0</v>
      </c>
      <c r="G7" s="187">
        <v>0</v>
      </c>
      <c r="H7" s="187">
        <v>669046</v>
      </c>
      <c r="I7" s="187">
        <v>199500</v>
      </c>
      <c r="J7" s="187">
        <v>3622350</v>
      </c>
      <c r="K7" s="187">
        <v>1156625</v>
      </c>
      <c r="L7" s="187">
        <v>171000</v>
      </c>
      <c r="M7" s="187">
        <v>0</v>
      </c>
      <c r="N7" s="187">
        <v>2484389</v>
      </c>
      <c r="O7" s="408">
        <f t="shared" ref="O7:O18" si="0">SUM(C7:N7)</f>
        <v>8383910</v>
      </c>
      <c r="P7" s="432"/>
      <c r="Q7" s="432"/>
      <c r="R7" s="433"/>
    </row>
    <row r="8" spans="1:18" s="409" customFormat="1" ht="21" x14ac:dyDescent="0.45">
      <c r="A8" s="311">
        <v>2</v>
      </c>
      <c r="B8" s="308" t="s">
        <v>360</v>
      </c>
      <c r="C8" s="187">
        <v>0</v>
      </c>
      <c r="D8" s="187">
        <v>0</v>
      </c>
      <c r="E8" s="187">
        <v>0</v>
      </c>
      <c r="F8" s="187">
        <v>0</v>
      </c>
      <c r="G8" s="187">
        <v>0</v>
      </c>
      <c r="H8" s="187">
        <v>335000</v>
      </c>
      <c r="I8" s="187">
        <v>0</v>
      </c>
      <c r="J8" s="187">
        <v>0</v>
      </c>
      <c r="K8" s="187">
        <v>0</v>
      </c>
      <c r="L8" s="187">
        <v>16000</v>
      </c>
      <c r="M8" s="187">
        <v>144000</v>
      </c>
      <c r="N8" s="187">
        <v>616380</v>
      </c>
      <c r="O8" s="408">
        <f t="shared" si="0"/>
        <v>1111380</v>
      </c>
      <c r="P8" s="432"/>
      <c r="Q8" s="432"/>
      <c r="R8" s="433"/>
    </row>
    <row r="9" spans="1:18" s="409" customFormat="1" ht="21" x14ac:dyDescent="0.45">
      <c r="A9" s="311">
        <v>3</v>
      </c>
      <c r="B9" s="308" t="s">
        <v>2126</v>
      </c>
      <c r="C9" s="187">
        <v>142500</v>
      </c>
      <c r="D9" s="187">
        <v>0</v>
      </c>
      <c r="E9" s="187">
        <v>0</v>
      </c>
      <c r="F9" s="187">
        <v>0</v>
      </c>
      <c r="G9" s="187">
        <v>0</v>
      </c>
      <c r="H9" s="187">
        <v>0</v>
      </c>
      <c r="I9" s="187">
        <v>0</v>
      </c>
      <c r="J9" s="187">
        <v>209000</v>
      </c>
      <c r="K9" s="187">
        <v>0</v>
      </c>
      <c r="L9" s="187">
        <v>0</v>
      </c>
      <c r="M9" s="187">
        <v>0</v>
      </c>
      <c r="N9" s="187">
        <v>30000</v>
      </c>
      <c r="O9" s="408">
        <f t="shared" si="0"/>
        <v>381500</v>
      </c>
      <c r="P9" s="432"/>
      <c r="Q9" s="432"/>
      <c r="R9" s="433"/>
    </row>
    <row r="10" spans="1:18" s="409" customFormat="1" ht="21" x14ac:dyDescent="0.45">
      <c r="A10" s="311">
        <v>4</v>
      </c>
      <c r="B10" s="308" t="s">
        <v>161</v>
      </c>
      <c r="C10" s="187">
        <v>0</v>
      </c>
      <c r="D10" s="187">
        <v>52500</v>
      </c>
      <c r="E10" s="187">
        <v>95000</v>
      </c>
      <c r="F10" s="187">
        <v>342000</v>
      </c>
      <c r="G10" s="187">
        <v>132525</v>
      </c>
      <c r="H10" s="187">
        <v>430500</v>
      </c>
      <c r="I10" s="187">
        <v>0</v>
      </c>
      <c r="J10" s="187">
        <v>2693409</v>
      </c>
      <c r="K10" s="187">
        <v>0</v>
      </c>
      <c r="L10" s="187">
        <v>55000</v>
      </c>
      <c r="M10" s="187">
        <v>0</v>
      </c>
      <c r="N10" s="187">
        <v>1046000</v>
      </c>
      <c r="O10" s="408">
        <f t="shared" si="0"/>
        <v>4846934</v>
      </c>
      <c r="P10" s="432"/>
      <c r="Q10" s="432"/>
      <c r="R10" s="433"/>
    </row>
    <row r="11" spans="1:18" s="409" customFormat="1" ht="21" x14ac:dyDescent="0.45">
      <c r="A11" s="311">
        <v>5</v>
      </c>
      <c r="B11" s="308" t="s">
        <v>156</v>
      </c>
      <c r="C11" s="187">
        <v>0</v>
      </c>
      <c r="D11" s="187">
        <v>1600000</v>
      </c>
      <c r="E11" s="187">
        <v>0</v>
      </c>
      <c r="F11" s="187">
        <v>300000</v>
      </c>
      <c r="G11" s="187">
        <v>70000</v>
      </c>
      <c r="H11" s="187">
        <v>36765</v>
      </c>
      <c r="I11" s="187">
        <v>0</v>
      </c>
      <c r="J11" s="187">
        <v>0</v>
      </c>
      <c r="K11" s="187">
        <v>0</v>
      </c>
      <c r="L11" s="187">
        <v>24500</v>
      </c>
      <c r="M11" s="187">
        <v>0</v>
      </c>
      <c r="N11" s="187">
        <v>120000</v>
      </c>
      <c r="O11" s="408">
        <f t="shared" si="0"/>
        <v>2151265</v>
      </c>
      <c r="P11" s="432"/>
      <c r="Q11" s="432"/>
      <c r="R11" s="433"/>
    </row>
    <row r="12" spans="1:18" s="409" customFormat="1" ht="21" x14ac:dyDescent="0.45">
      <c r="A12" s="311">
        <v>6</v>
      </c>
      <c r="B12" s="308" t="s">
        <v>2434</v>
      </c>
      <c r="C12" s="187">
        <v>0</v>
      </c>
      <c r="D12" s="187">
        <v>100000</v>
      </c>
      <c r="E12" s="187">
        <v>405271.2</v>
      </c>
      <c r="F12" s="187">
        <v>625950</v>
      </c>
      <c r="G12" s="187">
        <v>201200</v>
      </c>
      <c r="H12" s="187">
        <v>98000</v>
      </c>
      <c r="I12" s="187">
        <v>177555</v>
      </c>
      <c r="J12" s="187">
        <v>3217784</v>
      </c>
      <c r="K12" s="187">
        <v>487000</v>
      </c>
      <c r="L12" s="187">
        <v>710718.28</v>
      </c>
      <c r="M12" s="187">
        <v>1842800</v>
      </c>
      <c r="N12" s="187">
        <v>1909627</v>
      </c>
      <c r="O12" s="408">
        <f t="shared" si="0"/>
        <v>9775905.4800000004</v>
      </c>
      <c r="P12" s="432"/>
      <c r="Q12" s="432"/>
      <c r="R12" s="433"/>
    </row>
    <row r="13" spans="1:18" s="409" customFormat="1" ht="21" x14ac:dyDescent="0.45">
      <c r="A13" s="311">
        <v>7</v>
      </c>
      <c r="B13" s="308" t="s">
        <v>1229</v>
      </c>
      <c r="C13" s="411">
        <v>0</v>
      </c>
      <c r="D13" s="411">
        <v>0</v>
      </c>
      <c r="E13" s="411">
        <v>0</v>
      </c>
      <c r="F13" s="411">
        <v>0</v>
      </c>
      <c r="G13" s="411">
        <v>90000</v>
      </c>
      <c r="H13" s="411">
        <v>142500</v>
      </c>
      <c r="I13" s="411">
        <v>0</v>
      </c>
      <c r="J13" s="411">
        <v>0</v>
      </c>
      <c r="K13" s="411">
        <v>0</v>
      </c>
      <c r="L13" s="411">
        <v>0</v>
      </c>
      <c r="M13" s="411">
        <v>90000</v>
      </c>
      <c r="N13" s="411">
        <v>142500</v>
      </c>
      <c r="O13" s="408">
        <f t="shared" si="0"/>
        <v>465000</v>
      </c>
      <c r="P13" s="432"/>
      <c r="Q13" s="432"/>
      <c r="R13" s="433"/>
    </row>
    <row r="14" spans="1:18" s="409" customFormat="1" ht="21" x14ac:dyDescent="0.45">
      <c r="A14" s="311">
        <v>8</v>
      </c>
      <c r="B14" s="308" t="s">
        <v>308</v>
      </c>
      <c r="C14" s="411">
        <v>0</v>
      </c>
      <c r="D14" s="411">
        <v>0</v>
      </c>
      <c r="E14" s="411">
        <v>0</v>
      </c>
      <c r="F14" s="411">
        <v>0</v>
      </c>
      <c r="G14" s="411">
        <v>0</v>
      </c>
      <c r="H14" s="411">
        <v>0</v>
      </c>
      <c r="I14" s="411">
        <v>0</v>
      </c>
      <c r="J14" s="411">
        <v>0</v>
      </c>
      <c r="K14" s="411">
        <v>91200</v>
      </c>
      <c r="L14" s="411">
        <v>0</v>
      </c>
      <c r="M14" s="411">
        <v>0</v>
      </c>
      <c r="N14" s="411">
        <v>28800</v>
      </c>
      <c r="O14" s="408">
        <f t="shared" si="0"/>
        <v>120000</v>
      </c>
      <c r="P14" s="432"/>
      <c r="Q14" s="432"/>
      <c r="R14" s="433"/>
    </row>
    <row r="15" spans="1:18" s="409" customFormat="1" ht="21" x14ac:dyDescent="0.45">
      <c r="A15" s="311">
        <v>9</v>
      </c>
      <c r="B15" s="308" t="s">
        <v>19</v>
      </c>
      <c r="C15" s="187">
        <v>100000</v>
      </c>
      <c r="D15" s="187">
        <v>0</v>
      </c>
      <c r="E15" s="187">
        <v>0</v>
      </c>
      <c r="F15" s="187">
        <v>557600</v>
      </c>
      <c r="G15" s="187">
        <v>0</v>
      </c>
      <c r="H15" s="187">
        <v>170000</v>
      </c>
      <c r="I15" s="187">
        <v>0</v>
      </c>
      <c r="J15" s="187">
        <v>0</v>
      </c>
      <c r="K15" s="187">
        <v>0</v>
      </c>
      <c r="L15" s="187">
        <v>95000</v>
      </c>
      <c r="M15" s="187">
        <v>1001097</v>
      </c>
      <c r="N15" s="187">
        <v>694000</v>
      </c>
      <c r="O15" s="408">
        <f t="shared" si="0"/>
        <v>2617697</v>
      </c>
      <c r="P15" s="432"/>
      <c r="Q15" s="432"/>
      <c r="R15" s="433"/>
    </row>
    <row r="16" spans="1:18" s="409" customFormat="1" ht="21" x14ac:dyDescent="0.45">
      <c r="A16" s="311">
        <v>10</v>
      </c>
      <c r="B16" s="308" t="s">
        <v>117</v>
      </c>
      <c r="C16" s="411">
        <v>0</v>
      </c>
      <c r="D16" s="411">
        <v>1183000</v>
      </c>
      <c r="E16" s="411">
        <v>111000</v>
      </c>
      <c r="F16" s="411">
        <v>0</v>
      </c>
      <c r="G16" s="411">
        <v>247195</v>
      </c>
      <c r="H16" s="411">
        <v>0</v>
      </c>
      <c r="I16" s="411">
        <v>0</v>
      </c>
      <c r="J16" s="411">
        <v>0</v>
      </c>
      <c r="K16" s="411">
        <v>0</v>
      </c>
      <c r="L16" s="411">
        <v>38000</v>
      </c>
      <c r="M16" s="411">
        <v>20000</v>
      </c>
      <c r="N16" s="411">
        <v>2672000</v>
      </c>
      <c r="O16" s="408">
        <f t="shared" si="0"/>
        <v>4271195</v>
      </c>
      <c r="P16" s="432"/>
      <c r="Q16" s="432"/>
      <c r="R16" s="433"/>
    </row>
    <row r="17" spans="1:18" s="409" customFormat="1" ht="21" x14ac:dyDescent="0.45">
      <c r="A17" s="311">
        <v>11</v>
      </c>
      <c r="B17" s="308" t="s">
        <v>3470</v>
      </c>
      <c r="C17" s="187">
        <v>0</v>
      </c>
      <c r="D17" s="187">
        <v>0</v>
      </c>
      <c r="E17" s="187">
        <v>0</v>
      </c>
      <c r="F17" s="187">
        <v>0</v>
      </c>
      <c r="G17" s="187">
        <v>0</v>
      </c>
      <c r="H17" s="187">
        <v>0</v>
      </c>
      <c r="I17" s="187">
        <v>0</v>
      </c>
      <c r="J17" s="187">
        <v>1787050</v>
      </c>
      <c r="K17" s="187">
        <v>0</v>
      </c>
      <c r="L17" s="187">
        <v>0</v>
      </c>
      <c r="M17" s="187">
        <v>0</v>
      </c>
      <c r="N17" s="187">
        <v>528250</v>
      </c>
      <c r="O17" s="408">
        <f t="shared" si="0"/>
        <v>2315300</v>
      </c>
      <c r="P17" s="432"/>
      <c r="Q17" s="432"/>
      <c r="R17" s="433"/>
    </row>
    <row r="18" spans="1:18" s="409" customFormat="1" ht="21" x14ac:dyDescent="0.45">
      <c r="A18" s="311">
        <v>12</v>
      </c>
      <c r="B18" s="308" t="s">
        <v>706</v>
      </c>
      <c r="C18" s="411">
        <v>0</v>
      </c>
      <c r="D18" s="411">
        <v>0</v>
      </c>
      <c r="E18" s="411">
        <v>1402000</v>
      </c>
      <c r="F18" s="411">
        <v>0</v>
      </c>
      <c r="G18" s="411">
        <v>1437532</v>
      </c>
      <c r="H18" s="411">
        <v>0</v>
      </c>
      <c r="I18" s="411">
        <v>811100</v>
      </c>
      <c r="J18" s="411">
        <v>1938850</v>
      </c>
      <c r="K18" s="411">
        <v>2347400</v>
      </c>
      <c r="L18" s="411">
        <v>982200</v>
      </c>
      <c r="M18" s="411">
        <v>368250</v>
      </c>
      <c r="N18" s="411">
        <v>1271400</v>
      </c>
      <c r="O18" s="408">
        <f t="shared" si="0"/>
        <v>10558732</v>
      </c>
      <c r="P18" s="432"/>
      <c r="Q18" s="432"/>
      <c r="R18" s="433"/>
    </row>
    <row r="19" spans="1:18" s="409" customFormat="1" ht="21" x14ac:dyDescent="0.45">
      <c r="A19" s="311">
        <v>13</v>
      </c>
      <c r="B19" s="308" t="s">
        <v>526</v>
      </c>
      <c r="C19" s="411">
        <v>0</v>
      </c>
      <c r="D19" s="411">
        <v>0</v>
      </c>
      <c r="E19" s="411">
        <v>0</v>
      </c>
      <c r="F19" s="411">
        <v>0</v>
      </c>
      <c r="G19" s="411">
        <v>0</v>
      </c>
      <c r="H19" s="411">
        <v>156750</v>
      </c>
      <c r="I19" s="411">
        <v>0</v>
      </c>
      <c r="J19" s="411">
        <v>0</v>
      </c>
      <c r="K19" s="411">
        <v>0</v>
      </c>
      <c r="L19" s="411">
        <v>0</v>
      </c>
      <c r="M19" s="411">
        <v>0</v>
      </c>
      <c r="N19" s="411">
        <v>261750</v>
      </c>
      <c r="O19" s="408">
        <f>SUM(C19:N19)</f>
        <v>418500</v>
      </c>
      <c r="P19" s="432"/>
      <c r="Q19" s="432"/>
      <c r="R19" s="433"/>
    </row>
    <row r="20" spans="1:18" s="409" customFormat="1" ht="21" x14ac:dyDescent="0.45">
      <c r="A20" s="311">
        <v>14</v>
      </c>
      <c r="B20" s="308" t="s">
        <v>2554</v>
      </c>
      <c r="C20" s="411">
        <v>0</v>
      </c>
      <c r="D20" s="411">
        <v>0</v>
      </c>
      <c r="E20" s="411">
        <v>0</v>
      </c>
      <c r="F20" s="411">
        <v>0</v>
      </c>
      <c r="G20" s="411">
        <v>0</v>
      </c>
      <c r="H20" s="411"/>
      <c r="I20" s="411">
        <v>0</v>
      </c>
      <c r="J20" s="411">
        <v>4351116</v>
      </c>
      <c r="K20" s="411">
        <v>0</v>
      </c>
      <c r="L20" s="411">
        <v>0</v>
      </c>
      <c r="M20" s="411">
        <v>0</v>
      </c>
      <c r="N20" s="411">
        <v>2671660</v>
      </c>
      <c r="O20" s="408">
        <f>SUM(C20:N20)</f>
        <v>7022776</v>
      </c>
      <c r="P20" s="432"/>
      <c r="Q20" s="432"/>
      <c r="R20" s="433"/>
    </row>
    <row r="21" spans="1:18" s="409" customFormat="1" ht="21" x14ac:dyDescent="0.45">
      <c r="A21" s="311">
        <v>15</v>
      </c>
      <c r="B21" s="308" t="s">
        <v>2149</v>
      </c>
      <c r="C21" s="187">
        <v>0</v>
      </c>
      <c r="D21" s="187">
        <v>0</v>
      </c>
      <c r="E21" s="187">
        <v>0</v>
      </c>
      <c r="F21" s="187">
        <v>0</v>
      </c>
      <c r="G21" s="187">
        <v>0</v>
      </c>
      <c r="H21" s="187">
        <v>392400</v>
      </c>
      <c r="I21" s="187">
        <v>0</v>
      </c>
      <c r="J21" s="187">
        <v>0</v>
      </c>
      <c r="K21" s="187">
        <v>0</v>
      </c>
      <c r="L21" s="187">
        <v>0</v>
      </c>
      <c r="M21" s="187">
        <v>0</v>
      </c>
      <c r="N21" s="187">
        <v>0</v>
      </c>
      <c r="O21" s="408">
        <f>SUM(C21:N21)</f>
        <v>392400</v>
      </c>
      <c r="R21" s="433"/>
    </row>
    <row r="22" spans="1:18" s="409" customFormat="1" ht="21" x14ac:dyDescent="0.45">
      <c r="A22" s="311">
        <v>16</v>
      </c>
      <c r="B22" s="308" t="s">
        <v>2467</v>
      </c>
      <c r="C22" s="411">
        <v>0</v>
      </c>
      <c r="D22" s="411">
        <v>0</v>
      </c>
      <c r="E22" s="411">
        <v>0</v>
      </c>
      <c r="F22" s="411">
        <v>315000</v>
      </c>
      <c r="G22" s="411">
        <v>0</v>
      </c>
      <c r="H22" s="411">
        <v>0</v>
      </c>
      <c r="I22" s="411">
        <v>45000</v>
      </c>
      <c r="J22" s="411">
        <v>0</v>
      </c>
      <c r="K22" s="411">
        <v>0</v>
      </c>
      <c r="L22" s="411">
        <v>0</v>
      </c>
      <c r="M22" s="411">
        <v>0</v>
      </c>
      <c r="N22" s="411">
        <v>155250</v>
      </c>
      <c r="O22" s="408">
        <f>SUM(C22:N22)</f>
        <v>515250</v>
      </c>
      <c r="P22" s="432"/>
      <c r="Q22" s="432"/>
      <c r="R22" s="433"/>
    </row>
    <row r="23" spans="1:18" s="409" customFormat="1" ht="21" x14ac:dyDescent="0.45">
      <c r="A23" s="311">
        <v>17</v>
      </c>
      <c r="B23" s="308" t="s">
        <v>2555</v>
      </c>
      <c r="C23" s="411">
        <v>0</v>
      </c>
      <c r="D23" s="411">
        <v>0</v>
      </c>
      <c r="E23" s="411">
        <v>4232126.8</v>
      </c>
      <c r="F23" s="411">
        <v>0</v>
      </c>
      <c r="G23" s="411">
        <v>0</v>
      </c>
      <c r="H23" s="411">
        <v>0</v>
      </c>
      <c r="I23" s="411">
        <v>0</v>
      </c>
      <c r="J23" s="411">
        <v>0</v>
      </c>
      <c r="K23" s="411">
        <v>0</v>
      </c>
      <c r="L23" s="411">
        <v>0</v>
      </c>
      <c r="M23" s="411">
        <v>0</v>
      </c>
      <c r="N23" s="411">
        <v>1053326.7</v>
      </c>
      <c r="O23" s="408">
        <f>SUM(C23:N23)</f>
        <v>5285453.5</v>
      </c>
      <c r="P23" s="432"/>
      <c r="Q23" s="432"/>
      <c r="R23" s="433"/>
    </row>
    <row r="24" spans="1:18" s="414" customFormat="1" ht="21.75" thickBot="1" x14ac:dyDescent="0.5">
      <c r="A24" s="511"/>
      <c r="B24" s="512" t="s">
        <v>1919</v>
      </c>
      <c r="C24" s="412">
        <f t="shared" ref="C24:O24" si="1">SUM(C7:C23)</f>
        <v>242500</v>
      </c>
      <c r="D24" s="412">
        <f t="shared" si="1"/>
        <v>2935500</v>
      </c>
      <c r="E24" s="412">
        <f t="shared" si="1"/>
        <v>6326398</v>
      </c>
      <c r="F24" s="412">
        <f t="shared" si="1"/>
        <v>2140550</v>
      </c>
      <c r="G24" s="412">
        <f t="shared" si="1"/>
        <v>2178452</v>
      </c>
      <c r="H24" s="412">
        <f t="shared" si="1"/>
        <v>2430961</v>
      </c>
      <c r="I24" s="412">
        <f t="shared" si="1"/>
        <v>1233155</v>
      </c>
      <c r="J24" s="412">
        <f t="shared" si="1"/>
        <v>17819559</v>
      </c>
      <c r="K24" s="412">
        <f t="shared" si="1"/>
        <v>4082225</v>
      </c>
      <c r="L24" s="563">
        <f t="shared" si="1"/>
        <v>2092418.28</v>
      </c>
      <c r="M24" s="563">
        <f t="shared" si="1"/>
        <v>3466147</v>
      </c>
      <c r="N24" s="412">
        <f t="shared" si="1"/>
        <v>15685332.699999999</v>
      </c>
      <c r="O24" s="413">
        <f t="shared" si="1"/>
        <v>60633197.980000004</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O26" s="533">
        <v>60633197.980000004</v>
      </c>
    </row>
    <row r="27" spans="1:18" x14ac:dyDescent="0.5">
      <c r="O27" s="534">
        <f>SUM(O24-O26)</f>
        <v>0</v>
      </c>
    </row>
  </sheetData>
  <mergeCells count="7">
    <mergeCell ref="A5:A6"/>
    <mergeCell ref="B5:B6"/>
    <mergeCell ref="C5:N5"/>
    <mergeCell ref="O5:O6"/>
    <mergeCell ref="B1:O1"/>
    <mergeCell ref="B2:O2"/>
    <mergeCell ref="B3:O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33"/>
  <sheetViews>
    <sheetView zoomScale="90" zoomScaleNormal="90" workbookViewId="0">
      <pane xSplit="2" ySplit="9" topLeftCell="CL10" activePane="bottomRight" state="frozen"/>
      <selection pane="topRight" activeCell="C1" sqref="C1"/>
      <selection pane="bottomLeft" activeCell="A10" sqref="A10"/>
      <selection pane="bottomRight" activeCell="B33" sqref="B33"/>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3.75" style="325" customWidth="1"/>
    <col min="10" max="10" width="0.75" style="505" customWidth="1"/>
    <col min="11" max="11" width="13.75" style="324" customWidth="1"/>
    <col min="12" max="15" width="14.375" style="325" customWidth="1"/>
    <col min="16" max="16" width="12.875" style="325" customWidth="1"/>
    <col min="17" max="17" width="13.75" style="325" customWidth="1"/>
    <col min="18" max="18" width="0.75" style="325" customWidth="1"/>
    <col min="19" max="19" width="13.75" style="324" customWidth="1"/>
    <col min="20" max="23" width="14.375" style="325" customWidth="1"/>
    <col min="24" max="24" width="12.875" style="325" customWidth="1"/>
    <col min="25" max="25" width="13.75" style="325" customWidth="1"/>
    <col min="26" max="26" width="0.75" style="505" customWidth="1"/>
    <col min="27" max="27" width="13.75" style="324" customWidth="1"/>
    <col min="28" max="31" width="14.375" style="325" customWidth="1"/>
    <col min="32" max="32" width="12.875" style="325" customWidth="1"/>
    <col min="33" max="33" width="13.75" style="325" customWidth="1"/>
    <col min="34" max="34" width="0.75" style="325" customWidth="1"/>
    <col min="35" max="35" width="13.75" style="324" customWidth="1"/>
    <col min="36" max="39" width="14.375" style="325" customWidth="1"/>
    <col min="40" max="40" width="12.875" style="325" customWidth="1"/>
    <col min="41" max="41" width="13.75" style="325" customWidth="1"/>
    <col min="42" max="42" width="0.75" style="505" customWidth="1"/>
    <col min="43" max="43" width="13.75" style="324" customWidth="1"/>
    <col min="44" max="47" width="14.375" style="325" customWidth="1"/>
    <col min="48" max="48" width="12.875" style="325" customWidth="1"/>
    <col min="49" max="49" width="13.75" style="325" customWidth="1"/>
    <col min="50" max="50" width="0.75" style="325" customWidth="1"/>
    <col min="51" max="51" width="13.75" style="324" customWidth="1"/>
    <col min="52" max="55" width="14.375" style="325" customWidth="1"/>
    <col min="56" max="56" width="12.875" style="325" customWidth="1"/>
    <col min="57" max="57" width="13.75" style="325" customWidth="1"/>
    <col min="58" max="58" width="0.75" style="505" customWidth="1"/>
    <col min="59" max="59" width="13.75" style="324" customWidth="1"/>
    <col min="60" max="63" width="14.375" style="325" customWidth="1"/>
    <col min="64" max="64" width="12.875" style="325" customWidth="1"/>
    <col min="65" max="65" width="13.75" style="325" customWidth="1"/>
    <col min="66" max="66" width="0.75" style="325" customWidth="1"/>
    <col min="67" max="67" width="13.75" style="324" customWidth="1"/>
    <col min="68" max="71" width="14.375" style="325" customWidth="1"/>
    <col min="72" max="72" width="12.875" style="325" customWidth="1"/>
    <col min="73" max="73" width="13.75" style="325" customWidth="1"/>
    <col min="74" max="74" width="0.75" style="505" customWidth="1"/>
    <col min="75" max="75" width="13.75" style="324" customWidth="1"/>
    <col min="76" max="79" width="14.375" style="325" customWidth="1"/>
    <col min="80" max="80" width="12.875" style="325" customWidth="1"/>
    <col min="81" max="81" width="13.75" style="325" customWidth="1"/>
    <col min="82" max="82" width="0.75" style="325" customWidth="1"/>
    <col min="83" max="83" width="13.75" style="324" customWidth="1"/>
    <col min="84" max="87" width="14.375" style="325" customWidth="1"/>
    <col min="88" max="88" width="12.875" style="325" customWidth="1"/>
    <col min="89" max="89" width="13.75" style="325" customWidth="1"/>
    <col min="90" max="90" width="0.75" style="505" customWidth="1"/>
    <col min="91" max="91" width="13.75" style="324" customWidth="1"/>
    <col min="92" max="95" width="14.375" style="325" customWidth="1"/>
    <col min="96" max="96" width="12.875" style="325" customWidth="1"/>
    <col min="97" max="97" width="13.75" style="325" customWidth="1"/>
    <col min="98" max="98" width="0.75" style="325" customWidth="1"/>
    <col min="99" max="99" width="13.75" style="324" customWidth="1"/>
    <col min="100" max="103" width="14.375" style="325" customWidth="1"/>
    <col min="104" max="104" width="12.875" style="325" customWidth="1"/>
    <col min="105" max="105" width="13.75" style="325" customWidth="1"/>
    <col min="106" max="106" width="17.5" style="325" customWidth="1"/>
    <col min="107"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3.75" style="325" customWidth="1"/>
    <col min="266" max="266" width="0.75" style="325" customWidth="1"/>
    <col min="267" max="267" width="13.75" style="325" customWidth="1"/>
    <col min="268" max="271" width="14.375" style="325" customWidth="1"/>
    <col min="272" max="272" width="12.875" style="325" customWidth="1"/>
    <col min="273" max="273" width="13.75" style="325" customWidth="1"/>
    <col min="274" max="274" width="0.75" style="325" customWidth="1"/>
    <col min="275" max="275" width="13.75" style="325" customWidth="1"/>
    <col min="276" max="279" width="14.375" style="325" customWidth="1"/>
    <col min="280" max="280" width="12.875" style="325" customWidth="1"/>
    <col min="281" max="281" width="13.75" style="325" customWidth="1"/>
    <col min="282" max="282" width="0.75" style="325" customWidth="1"/>
    <col min="283" max="283" width="13.75" style="325" customWidth="1"/>
    <col min="284" max="287" width="14.375" style="325" customWidth="1"/>
    <col min="288" max="288" width="12.875" style="325" customWidth="1"/>
    <col min="289" max="289" width="13.75" style="325" customWidth="1"/>
    <col min="290" max="290" width="0.75" style="325" customWidth="1"/>
    <col min="291" max="291" width="13.75" style="325" customWidth="1"/>
    <col min="292" max="295" width="14.375" style="325" customWidth="1"/>
    <col min="296" max="296" width="12.875" style="325" customWidth="1"/>
    <col min="297" max="297" width="13.75" style="325" customWidth="1"/>
    <col min="298" max="298" width="0.75" style="325" customWidth="1"/>
    <col min="299" max="299" width="13.75" style="325" customWidth="1"/>
    <col min="300" max="303" width="14.375" style="325" customWidth="1"/>
    <col min="304" max="304" width="12.875" style="325" customWidth="1"/>
    <col min="305" max="305" width="13.75" style="325" customWidth="1"/>
    <col min="306" max="306" width="0.75" style="325" customWidth="1"/>
    <col min="307" max="307" width="13.75" style="325" customWidth="1"/>
    <col min="308" max="311" width="14.375" style="325" customWidth="1"/>
    <col min="312" max="312" width="12.875" style="325" customWidth="1"/>
    <col min="313" max="313" width="13.75" style="325" customWidth="1"/>
    <col min="314" max="314" width="0.75" style="325" customWidth="1"/>
    <col min="315" max="315" width="13.75" style="325" customWidth="1"/>
    <col min="316" max="319" width="14.375" style="325" customWidth="1"/>
    <col min="320" max="320" width="12.875" style="325" customWidth="1"/>
    <col min="321" max="321" width="13.75" style="325" customWidth="1"/>
    <col min="322" max="322" width="0.75" style="325" customWidth="1"/>
    <col min="323" max="323" width="13.75" style="325" customWidth="1"/>
    <col min="324" max="327" width="14.375" style="325" customWidth="1"/>
    <col min="328" max="328" width="12.875" style="325" customWidth="1"/>
    <col min="329" max="329" width="13.75" style="325" customWidth="1"/>
    <col min="330" max="330" width="0.75" style="325" customWidth="1"/>
    <col min="331" max="331" width="13.75" style="325" customWidth="1"/>
    <col min="332" max="335" width="14.375" style="325" customWidth="1"/>
    <col min="336" max="336" width="12.875" style="325" customWidth="1"/>
    <col min="337" max="337" width="13.75" style="325" customWidth="1"/>
    <col min="338" max="338" width="0.75" style="325" customWidth="1"/>
    <col min="339" max="339" width="13.75" style="325" customWidth="1"/>
    <col min="340" max="343" width="14.375" style="325" customWidth="1"/>
    <col min="344" max="344" width="12.875" style="325" customWidth="1"/>
    <col min="345" max="345" width="13.75" style="325" customWidth="1"/>
    <col min="346" max="346" width="0.75" style="325" customWidth="1"/>
    <col min="347" max="347" width="13.75" style="325" customWidth="1"/>
    <col min="348" max="351" width="14.375" style="325" customWidth="1"/>
    <col min="352" max="352" width="12.875" style="325" customWidth="1"/>
    <col min="353" max="353" width="13.75" style="325" customWidth="1"/>
    <col min="354" max="354" width="0.75" style="325" customWidth="1"/>
    <col min="355" max="355" width="13.75" style="325" customWidth="1"/>
    <col min="356" max="359" width="14.375" style="325" customWidth="1"/>
    <col min="360" max="360" width="12.875" style="325" customWidth="1"/>
    <col min="361" max="361" width="13.75" style="325" customWidth="1"/>
    <col min="362" max="362" width="17.5" style="325" customWidth="1"/>
    <col min="363"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3.75" style="325" customWidth="1"/>
    <col min="522" max="522" width="0.75" style="325" customWidth="1"/>
    <col min="523" max="523" width="13.75" style="325" customWidth="1"/>
    <col min="524" max="527" width="14.375" style="325" customWidth="1"/>
    <col min="528" max="528" width="12.875" style="325" customWidth="1"/>
    <col min="529" max="529" width="13.75" style="325" customWidth="1"/>
    <col min="530" max="530" width="0.75" style="325" customWidth="1"/>
    <col min="531" max="531" width="13.75" style="325" customWidth="1"/>
    <col min="532" max="535" width="14.375" style="325" customWidth="1"/>
    <col min="536" max="536" width="12.875" style="325" customWidth="1"/>
    <col min="537" max="537" width="13.75" style="325" customWidth="1"/>
    <col min="538" max="538" width="0.75" style="325" customWidth="1"/>
    <col min="539" max="539" width="13.75" style="325" customWidth="1"/>
    <col min="540" max="543" width="14.375" style="325" customWidth="1"/>
    <col min="544" max="544" width="12.875" style="325" customWidth="1"/>
    <col min="545" max="545" width="13.75" style="325" customWidth="1"/>
    <col min="546" max="546" width="0.75" style="325" customWidth="1"/>
    <col min="547" max="547" width="13.75" style="325" customWidth="1"/>
    <col min="548" max="551" width="14.375" style="325" customWidth="1"/>
    <col min="552" max="552" width="12.875" style="325" customWidth="1"/>
    <col min="553" max="553" width="13.75" style="325" customWidth="1"/>
    <col min="554" max="554" width="0.75" style="325" customWidth="1"/>
    <col min="555" max="555" width="13.75" style="325" customWidth="1"/>
    <col min="556" max="559" width="14.375" style="325" customWidth="1"/>
    <col min="560" max="560" width="12.875" style="325" customWidth="1"/>
    <col min="561" max="561" width="13.75" style="325" customWidth="1"/>
    <col min="562" max="562" width="0.75" style="325" customWidth="1"/>
    <col min="563" max="563" width="13.75" style="325" customWidth="1"/>
    <col min="564" max="567" width="14.375" style="325" customWidth="1"/>
    <col min="568" max="568" width="12.875" style="325" customWidth="1"/>
    <col min="569" max="569" width="13.75" style="325" customWidth="1"/>
    <col min="570" max="570" width="0.75" style="325" customWidth="1"/>
    <col min="571" max="571" width="13.75" style="325" customWidth="1"/>
    <col min="572" max="575" width="14.375" style="325" customWidth="1"/>
    <col min="576" max="576" width="12.875" style="325" customWidth="1"/>
    <col min="577" max="577" width="13.75" style="325" customWidth="1"/>
    <col min="578" max="578" width="0.75" style="325" customWidth="1"/>
    <col min="579" max="579" width="13.75" style="325" customWidth="1"/>
    <col min="580" max="583" width="14.375" style="325" customWidth="1"/>
    <col min="584" max="584" width="12.875" style="325" customWidth="1"/>
    <col min="585" max="585" width="13.75" style="325" customWidth="1"/>
    <col min="586" max="586" width="0.75" style="325" customWidth="1"/>
    <col min="587" max="587" width="13.75" style="325" customWidth="1"/>
    <col min="588" max="591" width="14.375" style="325" customWidth="1"/>
    <col min="592" max="592" width="12.875" style="325" customWidth="1"/>
    <col min="593" max="593" width="13.75" style="325" customWidth="1"/>
    <col min="594" max="594" width="0.75" style="325" customWidth="1"/>
    <col min="595" max="595" width="13.75" style="325" customWidth="1"/>
    <col min="596" max="599" width="14.375" style="325" customWidth="1"/>
    <col min="600" max="600" width="12.875" style="325" customWidth="1"/>
    <col min="601" max="601" width="13.75" style="325" customWidth="1"/>
    <col min="602" max="602" width="0.75" style="325" customWidth="1"/>
    <col min="603" max="603" width="13.75" style="325" customWidth="1"/>
    <col min="604" max="607" width="14.375" style="325" customWidth="1"/>
    <col min="608" max="608" width="12.875" style="325" customWidth="1"/>
    <col min="609" max="609" width="13.75" style="325" customWidth="1"/>
    <col min="610" max="610" width="0.75" style="325" customWidth="1"/>
    <col min="611" max="611" width="13.75" style="325" customWidth="1"/>
    <col min="612" max="615" width="14.375" style="325" customWidth="1"/>
    <col min="616" max="616" width="12.875" style="325" customWidth="1"/>
    <col min="617" max="617" width="13.75" style="325" customWidth="1"/>
    <col min="618" max="618" width="17.5" style="325" customWidth="1"/>
    <col min="619"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3.75" style="325" customWidth="1"/>
    <col min="778" max="778" width="0.75" style="325" customWidth="1"/>
    <col min="779" max="779" width="13.75" style="325" customWidth="1"/>
    <col min="780" max="783" width="14.375" style="325" customWidth="1"/>
    <col min="784" max="784" width="12.875" style="325" customWidth="1"/>
    <col min="785" max="785" width="13.75" style="325" customWidth="1"/>
    <col min="786" max="786" width="0.75" style="325" customWidth="1"/>
    <col min="787" max="787" width="13.75" style="325" customWidth="1"/>
    <col min="788" max="791" width="14.375" style="325" customWidth="1"/>
    <col min="792" max="792" width="12.875" style="325" customWidth="1"/>
    <col min="793" max="793" width="13.75" style="325" customWidth="1"/>
    <col min="794" max="794" width="0.75" style="325" customWidth="1"/>
    <col min="795" max="795" width="13.75" style="325" customWidth="1"/>
    <col min="796" max="799" width="14.375" style="325" customWidth="1"/>
    <col min="800" max="800" width="12.875" style="325" customWidth="1"/>
    <col min="801" max="801" width="13.75" style="325" customWidth="1"/>
    <col min="802" max="802" width="0.75" style="325" customWidth="1"/>
    <col min="803" max="803" width="13.75" style="325" customWidth="1"/>
    <col min="804" max="807" width="14.375" style="325" customWidth="1"/>
    <col min="808" max="808" width="12.875" style="325" customWidth="1"/>
    <col min="809" max="809" width="13.75" style="325" customWidth="1"/>
    <col min="810" max="810" width="0.75" style="325" customWidth="1"/>
    <col min="811" max="811" width="13.75" style="325" customWidth="1"/>
    <col min="812" max="815" width="14.375" style="325" customWidth="1"/>
    <col min="816" max="816" width="12.875" style="325" customWidth="1"/>
    <col min="817" max="817" width="13.75" style="325" customWidth="1"/>
    <col min="818" max="818" width="0.75" style="325" customWidth="1"/>
    <col min="819" max="819" width="13.75" style="325" customWidth="1"/>
    <col min="820" max="823" width="14.375" style="325" customWidth="1"/>
    <col min="824" max="824" width="12.875" style="325" customWidth="1"/>
    <col min="825" max="825" width="13.75" style="325" customWidth="1"/>
    <col min="826" max="826" width="0.75" style="325" customWidth="1"/>
    <col min="827" max="827" width="13.75" style="325" customWidth="1"/>
    <col min="828" max="831" width="14.375" style="325" customWidth="1"/>
    <col min="832" max="832" width="12.875" style="325" customWidth="1"/>
    <col min="833" max="833" width="13.75" style="325" customWidth="1"/>
    <col min="834" max="834" width="0.75" style="325" customWidth="1"/>
    <col min="835" max="835" width="13.75" style="325" customWidth="1"/>
    <col min="836" max="839" width="14.375" style="325" customWidth="1"/>
    <col min="840" max="840" width="12.875" style="325" customWidth="1"/>
    <col min="841" max="841" width="13.75" style="325" customWidth="1"/>
    <col min="842" max="842" width="0.75" style="325" customWidth="1"/>
    <col min="843" max="843" width="13.75" style="325" customWidth="1"/>
    <col min="844" max="847" width="14.375" style="325" customWidth="1"/>
    <col min="848" max="848" width="12.875" style="325" customWidth="1"/>
    <col min="849" max="849" width="13.75" style="325" customWidth="1"/>
    <col min="850" max="850" width="0.75" style="325" customWidth="1"/>
    <col min="851" max="851" width="13.75" style="325" customWidth="1"/>
    <col min="852" max="855" width="14.375" style="325" customWidth="1"/>
    <col min="856" max="856" width="12.875" style="325" customWidth="1"/>
    <col min="857" max="857" width="13.75" style="325" customWidth="1"/>
    <col min="858" max="858" width="0.75" style="325" customWidth="1"/>
    <col min="859" max="859" width="13.75" style="325" customWidth="1"/>
    <col min="860" max="863" width="14.375" style="325" customWidth="1"/>
    <col min="864" max="864" width="12.875" style="325" customWidth="1"/>
    <col min="865" max="865" width="13.75" style="325" customWidth="1"/>
    <col min="866" max="866" width="0.75" style="325" customWidth="1"/>
    <col min="867" max="867" width="13.75" style="325" customWidth="1"/>
    <col min="868" max="871" width="14.375" style="325" customWidth="1"/>
    <col min="872" max="872" width="12.875" style="325" customWidth="1"/>
    <col min="873" max="873" width="13.75" style="325" customWidth="1"/>
    <col min="874" max="874" width="17.5" style="325" customWidth="1"/>
    <col min="875"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3.75" style="325" customWidth="1"/>
    <col min="1034" max="1034" width="0.75" style="325" customWidth="1"/>
    <col min="1035" max="1035" width="13.75" style="325" customWidth="1"/>
    <col min="1036" max="1039" width="14.375" style="325" customWidth="1"/>
    <col min="1040" max="1040" width="12.875" style="325" customWidth="1"/>
    <col min="1041" max="1041" width="13.75" style="325" customWidth="1"/>
    <col min="1042" max="1042" width="0.75" style="325" customWidth="1"/>
    <col min="1043" max="1043" width="13.75" style="325" customWidth="1"/>
    <col min="1044" max="1047" width="14.375" style="325" customWidth="1"/>
    <col min="1048" max="1048" width="12.875" style="325" customWidth="1"/>
    <col min="1049" max="1049" width="13.75" style="325" customWidth="1"/>
    <col min="1050" max="1050" width="0.75" style="325" customWidth="1"/>
    <col min="1051" max="1051" width="13.75" style="325" customWidth="1"/>
    <col min="1052" max="1055" width="14.375" style="325" customWidth="1"/>
    <col min="1056" max="1056" width="12.875" style="325" customWidth="1"/>
    <col min="1057" max="1057" width="13.75" style="325" customWidth="1"/>
    <col min="1058" max="1058" width="0.75" style="325" customWidth="1"/>
    <col min="1059" max="1059" width="13.75" style="325" customWidth="1"/>
    <col min="1060" max="1063" width="14.375" style="325" customWidth="1"/>
    <col min="1064" max="1064" width="12.875" style="325" customWidth="1"/>
    <col min="1065" max="1065" width="13.75" style="325" customWidth="1"/>
    <col min="1066" max="1066" width="0.75" style="325" customWidth="1"/>
    <col min="1067" max="1067" width="13.75" style="325" customWidth="1"/>
    <col min="1068" max="1071" width="14.375" style="325" customWidth="1"/>
    <col min="1072" max="1072" width="12.875" style="325" customWidth="1"/>
    <col min="1073" max="1073" width="13.75" style="325" customWidth="1"/>
    <col min="1074" max="1074" width="0.75" style="325" customWidth="1"/>
    <col min="1075" max="1075" width="13.75" style="325" customWidth="1"/>
    <col min="1076" max="1079" width="14.375" style="325" customWidth="1"/>
    <col min="1080" max="1080" width="12.875" style="325" customWidth="1"/>
    <col min="1081" max="1081" width="13.75" style="325" customWidth="1"/>
    <col min="1082" max="1082" width="0.75" style="325" customWidth="1"/>
    <col min="1083" max="1083" width="13.75" style="325" customWidth="1"/>
    <col min="1084" max="1087" width="14.375" style="325" customWidth="1"/>
    <col min="1088" max="1088" width="12.875" style="325" customWidth="1"/>
    <col min="1089" max="1089" width="13.75" style="325" customWidth="1"/>
    <col min="1090" max="1090" width="0.75" style="325" customWidth="1"/>
    <col min="1091" max="1091" width="13.75" style="325" customWidth="1"/>
    <col min="1092" max="1095" width="14.375" style="325" customWidth="1"/>
    <col min="1096" max="1096" width="12.875" style="325" customWidth="1"/>
    <col min="1097" max="1097" width="13.75" style="325" customWidth="1"/>
    <col min="1098" max="1098" width="0.75" style="325" customWidth="1"/>
    <col min="1099" max="1099" width="13.75" style="325" customWidth="1"/>
    <col min="1100" max="1103" width="14.375" style="325" customWidth="1"/>
    <col min="1104" max="1104" width="12.875" style="325" customWidth="1"/>
    <col min="1105" max="1105" width="13.75" style="325" customWidth="1"/>
    <col min="1106" max="1106" width="0.75" style="325" customWidth="1"/>
    <col min="1107" max="1107" width="13.75" style="325" customWidth="1"/>
    <col min="1108" max="1111" width="14.375" style="325" customWidth="1"/>
    <col min="1112" max="1112" width="12.875" style="325" customWidth="1"/>
    <col min="1113" max="1113" width="13.75" style="325" customWidth="1"/>
    <col min="1114" max="1114" width="0.75" style="325" customWidth="1"/>
    <col min="1115" max="1115" width="13.75" style="325" customWidth="1"/>
    <col min="1116" max="1119" width="14.375" style="325" customWidth="1"/>
    <col min="1120" max="1120" width="12.875" style="325" customWidth="1"/>
    <col min="1121" max="1121" width="13.75" style="325" customWidth="1"/>
    <col min="1122" max="1122" width="0.75" style="325" customWidth="1"/>
    <col min="1123" max="1123" width="13.75" style="325" customWidth="1"/>
    <col min="1124" max="1127" width="14.375" style="325" customWidth="1"/>
    <col min="1128" max="1128" width="12.875" style="325" customWidth="1"/>
    <col min="1129" max="1129" width="13.75" style="325" customWidth="1"/>
    <col min="1130" max="1130" width="17.5" style="325" customWidth="1"/>
    <col min="1131"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3.75" style="325" customWidth="1"/>
    <col min="1290" max="1290" width="0.75" style="325" customWidth="1"/>
    <col min="1291" max="1291" width="13.75" style="325" customWidth="1"/>
    <col min="1292" max="1295" width="14.375" style="325" customWidth="1"/>
    <col min="1296" max="1296" width="12.875" style="325" customWidth="1"/>
    <col min="1297" max="1297" width="13.75" style="325" customWidth="1"/>
    <col min="1298" max="1298" width="0.75" style="325" customWidth="1"/>
    <col min="1299" max="1299" width="13.75" style="325" customWidth="1"/>
    <col min="1300" max="1303" width="14.375" style="325" customWidth="1"/>
    <col min="1304" max="1304" width="12.875" style="325" customWidth="1"/>
    <col min="1305" max="1305" width="13.75" style="325" customWidth="1"/>
    <col min="1306" max="1306" width="0.75" style="325" customWidth="1"/>
    <col min="1307" max="1307" width="13.75" style="325" customWidth="1"/>
    <col min="1308" max="1311" width="14.375" style="325" customWidth="1"/>
    <col min="1312" max="1312" width="12.875" style="325" customWidth="1"/>
    <col min="1313" max="1313" width="13.75" style="325" customWidth="1"/>
    <col min="1314" max="1314" width="0.75" style="325" customWidth="1"/>
    <col min="1315" max="1315" width="13.75" style="325" customWidth="1"/>
    <col min="1316" max="1319" width="14.375" style="325" customWidth="1"/>
    <col min="1320" max="1320" width="12.875" style="325" customWidth="1"/>
    <col min="1321" max="1321" width="13.75" style="325" customWidth="1"/>
    <col min="1322" max="1322" width="0.75" style="325" customWidth="1"/>
    <col min="1323" max="1323" width="13.75" style="325" customWidth="1"/>
    <col min="1324" max="1327" width="14.375" style="325" customWidth="1"/>
    <col min="1328" max="1328" width="12.875" style="325" customWidth="1"/>
    <col min="1329" max="1329" width="13.75" style="325" customWidth="1"/>
    <col min="1330" max="1330" width="0.75" style="325" customWidth="1"/>
    <col min="1331" max="1331" width="13.75" style="325" customWidth="1"/>
    <col min="1332" max="1335" width="14.375" style="325" customWidth="1"/>
    <col min="1336" max="1336" width="12.875" style="325" customWidth="1"/>
    <col min="1337" max="1337" width="13.75" style="325" customWidth="1"/>
    <col min="1338" max="1338" width="0.75" style="325" customWidth="1"/>
    <col min="1339" max="1339" width="13.75" style="325" customWidth="1"/>
    <col min="1340" max="1343" width="14.375" style="325" customWidth="1"/>
    <col min="1344" max="1344" width="12.875" style="325" customWidth="1"/>
    <col min="1345" max="1345" width="13.75" style="325" customWidth="1"/>
    <col min="1346" max="1346" width="0.75" style="325" customWidth="1"/>
    <col min="1347" max="1347" width="13.75" style="325" customWidth="1"/>
    <col min="1348" max="1351" width="14.375" style="325" customWidth="1"/>
    <col min="1352" max="1352" width="12.875" style="325" customWidth="1"/>
    <col min="1353" max="1353" width="13.75" style="325" customWidth="1"/>
    <col min="1354" max="1354" width="0.75" style="325" customWidth="1"/>
    <col min="1355" max="1355" width="13.75" style="325" customWidth="1"/>
    <col min="1356" max="1359" width="14.375" style="325" customWidth="1"/>
    <col min="1360" max="1360" width="12.875" style="325" customWidth="1"/>
    <col min="1361" max="1361" width="13.75" style="325" customWidth="1"/>
    <col min="1362" max="1362" width="0.75" style="325" customWidth="1"/>
    <col min="1363" max="1363" width="13.75" style="325" customWidth="1"/>
    <col min="1364" max="1367" width="14.375" style="325" customWidth="1"/>
    <col min="1368" max="1368" width="12.875" style="325" customWidth="1"/>
    <col min="1369" max="1369" width="13.75" style="325" customWidth="1"/>
    <col min="1370" max="1370" width="0.75" style="325" customWidth="1"/>
    <col min="1371" max="1371" width="13.75" style="325" customWidth="1"/>
    <col min="1372" max="1375" width="14.375" style="325" customWidth="1"/>
    <col min="1376" max="1376" width="12.875" style="325" customWidth="1"/>
    <col min="1377" max="1377" width="13.75" style="325" customWidth="1"/>
    <col min="1378" max="1378" width="0.75" style="325" customWidth="1"/>
    <col min="1379" max="1379" width="13.75" style="325" customWidth="1"/>
    <col min="1380" max="1383" width="14.375" style="325" customWidth="1"/>
    <col min="1384" max="1384" width="12.875" style="325" customWidth="1"/>
    <col min="1385" max="1385" width="13.75" style="325" customWidth="1"/>
    <col min="1386" max="1386" width="17.5" style="325" customWidth="1"/>
    <col min="1387"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3.75" style="325" customWidth="1"/>
    <col min="1546" max="1546" width="0.75" style="325" customWidth="1"/>
    <col min="1547" max="1547" width="13.75" style="325" customWidth="1"/>
    <col min="1548" max="1551" width="14.375" style="325" customWidth="1"/>
    <col min="1552" max="1552" width="12.875" style="325" customWidth="1"/>
    <col min="1553" max="1553" width="13.75" style="325" customWidth="1"/>
    <col min="1554" max="1554" width="0.75" style="325" customWidth="1"/>
    <col min="1555" max="1555" width="13.75" style="325" customWidth="1"/>
    <col min="1556" max="1559" width="14.375" style="325" customWidth="1"/>
    <col min="1560" max="1560" width="12.875" style="325" customWidth="1"/>
    <col min="1561" max="1561" width="13.75" style="325" customWidth="1"/>
    <col min="1562" max="1562" width="0.75" style="325" customWidth="1"/>
    <col min="1563" max="1563" width="13.75" style="325" customWidth="1"/>
    <col min="1564" max="1567" width="14.375" style="325" customWidth="1"/>
    <col min="1568" max="1568" width="12.875" style="325" customWidth="1"/>
    <col min="1569" max="1569" width="13.75" style="325" customWidth="1"/>
    <col min="1570" max="1570" width="0.75" style="325" customWidth="1"/>
    <col min="1571" max="1571" width="13.75" style="325" customWidth="1"/>
    <col min="1572" max="1575" width="14.375" style="325" customWidth="1"/>
    <col min="1576" max="1576" width="12.875" style="325" customWidth="1"/>
    <col min="1577" max="1577" width="13.75" style="325" customWidth="1"/>
    <col min="1578" max="1578" width="0.75" style="325" customWidth="1"/>
    <col min="1579" max="1579" width="13.75" style="325" customWidth="1"/>
    <col min="1580" max="1583" width="14.375" style="325" customWidth="1"/>
    <col min="1584" max="1584" width="12.875" style="325" customWidth="1"/>
    <col min="1585" max="1585" width="13.75" style="325" customWidth="1"/>
    <col min="1586" max="1586" width="0.75" style="325" customWidth="1"/>
    <col min="1587" max="1587" width="13.75" style="325" customWidth="1"/>
    <col min="1588" max="1591" width="14.375" style="325" customWidth="1"/>
    <col min="1592" max="1592" width="12.875" style="325" customWidth="1"/>
    <col min="1593" max="1593" width="13.75" style="325" customWidth="1"/>
    <col min="1594" max="1594" width="0.75" style="325" customWidth="1"/>
    <col min="1595" max="1595" width="13.75" style="325" customWidth="1"/>
    <col min="1596" max="1599" width="14.375" style="325" customWidth="1"/>
    <col min="1600" max="1600" width="12.875" style="325" customWidth="1"/>
    <col min="1601" max="1601" width="13.75" style="325" customWidth="1"/>
    <col min="1602" max="1602" width="0.75" style="325" customWidth="1"/>
    <col min="1603" max="1603" width="13.75" style="325" customWidth="1"/>
    <col min="1604" max="1607" width="14.375" style="325" customWidth="1"/>
    <col min="1608" max="1608" width="12.875" style="325" customWidth="1"/>
    <col min="1609" max="1609" width="13.75" style="325" customWidth="1"/>
    <col min="1610" max="1610" width="0.75" style="325" customWidth="1"/>
    <col min="1611" max="1611" width="13.75" style="325" customWidth="1"/>
    <col min="1612" max="1615" width="14.375" style="325" customWidth="1"/>
    <col min="1616" max="1616" width="12.875" style="325" customWidth="1"/>
    <col min="1617" max="1617" width="13.75" style="325" customWidth="1"/>
    <col min="1618" max="1618" width="0.75" style="325" customWidth="1"/>
    <col min="1619" max="1619" width="13.75" style="325" customWidth="1"/>
    <col min="1620" max="1623" width="14.375" style="325" customWidth="1"/>
    <col min="1624" max="1624" width="12.875" style="325" customWidth="1"/>
    <col min="1625" max="1625" width="13.75" style="325" customWidth="1"/>
    <col min="1626" max="1626" width="0.75" style="325" customWidth="1"/>
    <col min="1627" max="1627" width="13.75" style="325" customWidth="1"/>
    <col min="1628" max="1631" width="14.375" style="325" customWidth="1"/>
    <col min="1632" max="1632" width="12.875" style="325" customWidth="1"/>
    <col min="1633" max="1633" width="13.75" style="325" customWidth="1"/>
    <col min="1634" max="1634" width="0.75" style="325" customWidth="1"/>
    <col min="1635" max="1635" width="13.75" style="325" customWidth="1"/>
    <col min="1636" max="1639" width="14.375" style="325" customWidth="1"/>
    <col min="1640" max="1640" width="12.875" style="325" customWidth="1"/>
    <col min="1641" max="1641" width="13.75" style="325" customWidth="1"/>
    <col min="1642" max="1642" width="17.5" style="325" customWidth="1"/>
    <col min="1643"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3.75" style="325" customWidth="1"/>
    <col min="1802" max="1802" width="0.75" style="325" customWidth="1"/>
    <col min="1803" max="1803" width="13.75" style="325" customWidth="1"/>
    <col min="1804" max="1807" width="14.375" style="325" customWidth="1"/>
    <col min="1808" max="1808" width="12.875" style="325" customWidth="1"/>
    <col min="1809" max="1809" width="13.75" style="325" customWidth="1"/>
    <col min="1810" max="1810" width="0.75" style="325" customWidth="1"/>
    <col min="1811" max="1811" width="13.75" style="325" customWidth="1"/>
    <col min="1812" max="1815" width="14.375" style="325" customWidth="1"/>
    <col min="1816" max="1816" width="12.875" style="325" customWidth="1"/>
    <col min="1817" max="1817" width="13.75" style="325" customWidth="1"/>
    <col min="1818" max="1818" width="0.75" style="325" customWidth="1"/>
    <col min="1819" max="1819" width="13.75" style="325" customWidth="1"/>
    <col min="1820" max="1823" width="14.375" style="325" customWidth="1"/>
    <col min="1824" max="1824" width="12.875" style="325" customWidth="1"/>
    <col min="1825" max="1825" width="13.75" style="325" customWidth="1"/>
    <col min="1826" max="1826" width="0.75" style="325" customWidth="1"/>
    <col min="1827" max="1827" width="13.75" style="325" customWidth="1"/>
    <col min="1828" max="1831" width="14.375" style="325" customWidth="1"/>
    <col min="1832" max="1832" width="12.875" style="325" customWidth="1"/>
    <col min="1833" max="1833" width="13.75" style="325" customWidth="1"/>
    <col min="1834" max="1834" width="0.75" style="325" customWidth="1"/>
    <col min="1835" max="1835" width="13.75" style="325" customWidth="1"/>
    <col min="1836" max="1839" width="14.375" style="325" customWidth="1"/>
    <col min="1840" max="1840" width="12.875" style="325" customWidth="1"/>
    <col min="1841" max="1841" width="13.75" style="325" customWidth="1"/>
    <col min="1842" max="1842" width="0.75" style="325" customWidth="1"/>
    <col min="1843" max="1843" width="13.75" style="325" customWidth="1"/>
    <col min="1844" max="1847" width="14.375" style="325" customWidth="1"/>
    <col min="1848" max="1848" width="12.875" style="325" customWidth="1"/>
    <col min="1849" max="1849" width="13.75" style="325" customWidth="1"/>
    <col min="1850" max="1850" width="0.75" style="325" customWidth="1"/>
    <col min="1851" max="1851" width="13.75" style="325" customWidth="1"/>
    <col min="1852" max="1855" width="14.375" style="325" customWidth="1"/>
    <col min="1856" max="1856" width="12.875" style="325" customWidth="1"/>
    <col min="1857" max="1857" width="13.75" style="325" customWidth="1"/>
    <col min="1858" max="1858" width="0.75" style="325" customWidth="1"/>
    <col min="1859" max="1859" width="13.75" style="325" customWidth="1"/>
    <col min="1860" max="1863" width="14.375" style="325" customWidth="1"/>
    <col min="1864" max="1864" width="12.875" style="325" customWidth="1"/>
    <col min="1865" max="1865" width="13.75" style="325" customWidth="1"/>
    <col min="1866" max="1866" width="0.75" style="325" customWidth="1"/>
    <col min="1867" max="1867" width="13.75" style="325" customWidth="1"/>
    <col min="1868" max="1871" width="14.375" style="325" customWidth="1"/>
    <col min="1872" max="1872" width="12.875" style="325" customWidth="1"/>
    <col min="1873" max="1873" width="13.75" style="325" customWidth="1"/>
    <col min="1874" max="1874" width="0.75" style="325" customWidth="1"/>
    <col min="1875" max="1875" width="13.75" style="325" customWidth="1"/>
    <col min="1876" max="1879" width="14.375" style="325" customWidth="1"/>
    <col min="1880" max="1880" width="12.875" style="325" customWidth="1"/>
    <col min="1881" max="1881" width="13.75" style="325" customWidth="1"/>
    <col min="1882" max="1882" width="0.75" style="325" customWidth="1"/>
    <col min="1883" max="1883" width="13.75" style="325" customWidth="1"/>
    <col min="1884" max="1887" width="14.375" style="325" customWidth="1"/>
    <col min="1888" max="1888" width="12.875" style="325" customWidth="1"/>
    <col min="1889" max="1889" width="13.75" style="325" customWidth="1"/>
    <col min="1890" max="1890" width="0.75" style="325" customWidth="1"/>
    <col min="1891" max="1891" width="13.75" style="325" customWidth="1"/>
    <col min="1892" max="1895" width="14.375" style="325" customWidth="1"/>
    <col min="1896" max="1896" width="12.875" style="325" customWidth="1"/>
    <col min="1897" max="1897" width="13.75" style="325" customWidth="1"/>
    <col min="1898" max="1898" width="17.5" style="325" customWidth="1"/>
    <col min="1899"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3.75" style="325" customWidth="1"/>
    <col min="2058" max="2058" width="0.75" style="325" customWidth="1"/>
    <col min="2059" max="2059" width="13.75" style="325" customWidth="1"/>
    <col min="2060" max="2063" width="14.375" style="325" customWidth="1"/>
    <col min="2064" max="2064" width="12.875" style="325" customWidth="1"/>
    <col min="2065" max="2065" width="13.75" style="325" customWidth="1"/>
    <col min="2066" max="2066" width="0.75" style="325" customWidth="1"/>
    <col min="2067" max="2067" width="13.75" style="325" customWidth="1"/>
    <col min="2068" max="2071" width="14.375" style="325" customWidth="1"/>
    <col min="2072" max="2072" width="12.875" style="325" customWidth="1"/>
    <col min="2073" max="2073" width="13.75" style="325" customWidth="1"/>
    <col min="2074" max="2074" width="0.75" style="325" customWidth="1"/>
    <col min="2075" max="2075" width="13.75" style="325" customWidth="1"/>
    <col min="2076" max="2079" width="14.375" style="325" customWidth="1"/>
    <col min="2080" max="2080" width="12.875" style="325" customWidth="1"/>
    <col min="2081" max="2081" width="13.75" style="325" customWidth="1"/>
    <col min="2082" max="2082" width="0.75" style="325" customWidth="1"/>
    <col min="2083" max="2083" width="13.75" style="325" customWidth="1"/>
    <col min="2084" max="2087" width="14.375" style="325" customWidth="1"/>
    <col min="2088" max="2088" width="12.875" style="325" customWidth="1"/>
    <col min="2089" max="2089" width="13.75" style="325" customWidth="1"/>
    <col min="2090" max="2090" width="0.75" style="325" customWidth="1"/>
    <col min="2091" max="2091" width="13.75" style="325" customWidth="1"/>
    <col min="2092" max="2095" width="14.375" style="325" customWidth="1"/>
    <col min="2096" max="2096" width="12.875" style="325" customWidth="1"/>
    <col min="2097" max="2097" width="13.75" style="325" customWidth="1"/>
    <col min="2098" max="2098" width="0.75" style="325" customWidth="1"/>
    <col min="2099" max="2099" width="13.75" style="325" customWidth="1"/>
    <col min="2100" max="2103" width="14.375" style="325" customWidth="1"/>
    <col min="2104" max="2104" width="12.875" style="325" customWidth="1"/>
    <col min="2105" max="2105" width="13.75" style="325" customWidth="1"/>
    <col min="2106" max="2106" width="0.75" style="325" customWidth="1"/>
    <col min="2107" max="2107" width="13.75" style="325" customWidth="1"/>
    <col min="2108" max="2111" width="14.375" style="325" customWidth="1"/>
    <col min="2112" max="2112" width="12.875" style="325" customWidth="1"/>
    <col min="2113" max="2113" width="13.75" style="325" customWidth="1"/>
    <col min="2114" max="2114" width="0.75" style="325" customWidth="1"/>
    <col min="2115" max="2115" width="13.75" style="325" customWidth="1"/>
    <col min="2116" max="2119" width="14.375" style="325" customWidth="1"/>
    <col min="2120" max="2120" width="12.875" style="325" customWidth="1"/>
    <col min="2121" max="2121" width="13.75" style="325" customWidth="1"/>
    <col min="2122" max="2122" width="0.75" style="325" customWidth="1"/>
    <col min="2123" max="2123" width="13.75" style="325" customWidth="1"/>
    <col min="2124" max="2127" width="14.375" style="325" customWidth="1"/>
    <col min="2128" max="2128" width="12.875" style="325" customWidth="1"/>
    <col min="2129" max="2129" width="13.75" style="325" customWidth="1"/>
    <col min="2130" max="2130" width="0.75" style="325" customWidth="1"/>
    <col min="2131" max="2131" width="13.75" style="325" customWidth="1"/>
    <col min="2132" max="2135" width="14.375" style="325" customWidth="1"/>
    <col min="2136" max="2136" width="12.875" style="325" customWidth="1"/>
    <col min="2137" max="2137" width="13.75" style="325" customWidth="1"/>
    <col min="2138" max="2138" width="0.75" style="325" customWidth="1"/>
    <col min="2139" max="2139" width="13.75" style="325" customWidth="1"/>
    <col min="2140" max="2143" width="14.375" style="325" customWidth="1"/>
    <col min="2144" max="2144" width="12.875" style="325" customWidth="1"/>
    <col min="2145" max="2145" width="13.75" style="325" customWidth="1"/>
    <col min="2146" max="2146" width="0.75" style="325" customWidth="1"/>
    <col min="2147" max="2147" width="13.75" style="325" customWidth="1"/>
    <col min="2148" max="2151" width="14.375" style="325" customWidth="1"/>
    <col min="2152" max="2152" width="12.875" style="325" customWidth="1"/>
    <col min="2153" max="2153" width="13.75" style="325" customWidth="1"/>
    <col min="2154" max="2154" width="17.5" style="325" customWidth="1"/>
    <col min="2155"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3.75" style="325" customWidth="1"/>
    <col min="2314" max="2314" width="0.75" style="325" customWidth="1"/>
    <col min="2315" max="2315" width="13.75" style="325" customWidth="1"/>
    <col min="2316" max="2319" width="14.375" style="325" customWidth="1"/>
    <col min="2320" max="2320" width="12.875" style="325" customWidth="1"/>
    <col min="2321" max="2321" width="13.75" style="325" customWidth="1"/>
    <col min="2322" max="2322" width="0.75" style="325" customWidth="1"/>
    <col min="2323" max="2323" width="13.75" style="325" customWidth="1"/>
    <col min="2324" max="2327" width="14.375" style="325" customWidth="1"/>
    <col min="2328" max="2328" width="12.875" style="325" customWidth="1"/>
    <col min="2329" max="2329" width="13.75" style="325" customWidth="1"/>
    <col min="2330" max="2330" width="0.75" style="325" customWidth="1"/>
    <col min="2331" max="2331" width="13.75" style="325" customWidth="1"/>
    <col min="2332" max="2335" width="14.375" style="325" customWidth="1"/>
    <col min="2336" max="2336" width="12.875" style="325" customWidth="1"/>
    <col min="2337" max="2337" width="13.75" style="325" customWidth="1"/>
    <col min="2338" max="2338" width="0.75" style="325" customWidth="1"/>
    <col min="2339" max="2339" width="13.75" style="325" customWidth="1"/>
    <col min="2340" max="2343" width="14.375" style="325" customWidth="1"/>
    <col min="2344" max="2344" width="12.875" style="325" customWidth="1"/>
    <col min="2345" max="2345" width="13.75" style="325" customWidth="1"/>
    <col min="2346" max="2346" width="0.75" style="325" customWidth="1"/>
    <col min="2347" max="2347" width="13.75" style="325" customWidth="1"/>
    <col min="2348" max="2351" width="14.375" style="325" customWidth="1"/>
    <col min="2352" max="2352" width="12.875" style="325" customWidth="1"/>
    <col min="2353" max="2353" width="13.75" style="325" customWidth="1"/>
    <col min="2354" max="2354" width="0.75" style="325" customWidth="1"/>
    <col min="2355" max="2355" width="13.75" style="325" customWidth="1"/>
    <col min="2356" max="2359" width="14.375" style="325" customWidth="1"/>
    <col min="2360" max="2360" width="12.875" style="325" customWidth="1"/>
    <col min="2361" max="2361" width="13.75" style="325" customWidth="1"/>
    <col min="2362" max="2362" width="0.75" style="325" customWidth="1"/>
    <col min="2363" max="2363" width="13.75" style="325" customWidth="1"/>
    <col min="2364" max="2367" width="14.375" style="325" customWidth="1"/>
    <col min="2368" max="2368" width="12.875" style="325" customWidth="1"/>
    <col min="2369" max="2369" width="13.75" style="325" customWidth="1"/>
    <col min="2370" max="2370" width="0.75" style="325" customWidth="1"/>
    <col min="2371" max="2371" width="13.75" style="325" customWidth="1"/>
    <col min="2372" max="2375" width="14.375" style="325" customWidth="1"/>
    <col min="2376" max="2376" width="12.875" style="325" customWidth="1"/>
    <col min="2377" max="2377" width="13.75" style="325" customWidth="1"/>
    <col min="2378" max="2378" width="0.75" style="325" customWidth="1"/>
    <col min="2379" max="2379" width="13.75" style="325" customWidth="1"/>
    <col min="2380" max="2383" width="14.375" style="325" customWidth="1"/>
    <col min="2384" max="2384" width="12.875" style="325" customWidth="1"/>
    <col min="2385" max="2385" width="13.75" style="325" customWidth="1"/>
    <col min="2386" max="2386" width="0.75" style="325" customWidth="1"/>
    <col min="2387" max="2387" width="13.75" style="325" customWidth="1"/>
    <col min="2388" max="2391" width="14.375" style="325" customWidth="1"/>
    <col min="2392" max="2392" width="12.875" style="325" customWidth="1"/>
    <col min="2393" max="2393" width="13.75" style="325" customWidth="1"/>
    <col min="2394" max="2394" width="0.75" style="325" customWidth="1"/>
    <col min="2395" max="2395" width="13.75" style="325" customWidth="1"/>
    <col min="2396" max="2399" width="14.375" style="325" customWidth="1"/>
    <col min="2400" max="2400" width="12.875" style="325" customWidth="1"/>
    <col min="2401" max="2401" width="13.75" style="325" customWidth="1"/>
    <col min="2402" max="2402" width="0.75" style="325" customWidth="1"/>
    <col min="2403" max="2403" width="13.75" style="325" customWidth="1"/>
    <col min="2404" max="2407" width="14.375" style="325" customWidth="1"/>
    <col min="2408" max="2408" width="12.875" style="325" customWidth="1"/>
    <col min="2409" max="2409" width="13.75" style="325" customWidth="1"/>
    <col min="2410" max="2410" width="17.5" style="325" customWidth="1"/>
    <col min="2411"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3.75" style="325" customWidth="1"/>
    <col min="2570" max="2570" width="0.75" style="325" customWidth="1"/>
    <col min="2571" max="2571" width="13.75" style="325" customWidth="1"/>
    <col min="2572" max="2575" width="14.375" style="325" customWidth="1"/>
    <col min="2576" max="2576" width="12.875" style="325" customWidth="1"/>
    <col min="2577" max="2577" width="13.75" style="325" customWidth="1"/>
    <col min="2578" max="2578" width="0.75" style="325" customWidth="1"/>
    <col min="2579" max="2579" width="13.75" style="325" customWidth="1"/>
    <col min="2580" max="2583" width="14.375" style="325" customWidth="1"/>
    <col min="2584" max="2584" width="12.875" style="325" customWidth="1"/>
    <col min="2585" max="2585" width="13.75" style="325" customWidth="1"/>
    <col min="2586" max="2586" width="0.75" style="325" customWidth="1"/>
    <col min="2587" max="2587" width="13.75" style="325" customWidth="1"/>
    <col min="2588" max="2591" width="14.375" style="325" customWidth="1"/>
    <col min="2592" max="2592" width="12.875" style="325" customWidth="1"/>
    <col min="2593" max="2593" width="13.75" style="325" customWidth="1"/>
    <col min="2594" max="2594" width="0.75" style="325" customWidth="1"/>
    <col min="2595" max="2595" width="13.75" style="325" customWidth="1"/>
    <col min="2596" max="2599" width="14.375" style="325" customWidth="1"/>
    <col min="2600" max="2600" width="12.875" style="325" customWidth="1"/>
    <col min="2601" max="2601" width="13.75" style="325" customWidth="1"/>
    <col min="2602" max="2602" width="0.75" style="325" customWidth="1"/>
    <col min="2603" max="2603" width="13.75" style="325" customWidth="1"/>
    <col min="2604" max="2607" width="14.375" style="325" customWidth="1"/>
    <col min="2608" max="2608" width="12.875" style="325" customWidth="1"/>
    <col min="2609" max="2609" width="13.75" style="325" customWidth="1"/>
    <col min="2610" max="2610" width="0.75" style="325" customWidth="1"/>
    <col min="2611" max="2611" width="13.75" style="325" customWidth="1"/>
    <col min="2612" max="2615" width="14.375" style="325" customWidth="1"/>
    <col min="2616" max="2616" width="12.875" style="325" customWidth="1"/>
    <col min="2617" max="2617" width="13.75" style="325" customWidth="1"/>
    <col min="2618" max="2618" width="0.75" style="325" customWidth="1"/>
    <col min="2619" max="2619" width="13.75" style="325" customWidth="1"/>
    <col min="2620" max="2623" width="14.375" style="325" customWidth="1"/>
    <col min="2624" max="2624" width="12.875" style="325" customWidth="1"/>
    <col min="2625" max="2625" width="13.75" style="325" customWidth="1"/>
    <col min="2626" max="2626" width="0.75" style="325" customWidth="1"/>
    <col min="2627" max="2627" width="13.75" style="325" customWidth="1"/>
    <col min="2628" max="2631" width="14.375" style="325" customWidth="1"/>
    <col min="2632" max="2632" width="12.875" style="325" customWidth="1"/>
    <col min="2633" max="2633" width="13.75" style="325" customWidth="1"/>
    <col min="2634" max="2634" width="0.75" style="325" customWidth="1"/>
    <col min="2635" max="2635" width="13.75" style="325" customWidth="1"/>
    <col min="2636" max="2639" width="14.375" style="325" customWidth="1"/>
    <col min="2640" max="2640" width="12.875" style="325" customWidth="1"/>
    <col min="2641" max="2641" width="13.75" style="325" customWidth="1"/>
    <col min="2642" max="2642" width="0.75" style="325" customWidth="1"/>
    <col min="2643" max="2643" width="13.75" style="325" customWidth="1"/>
    <col min="2644" max="2647" width="14.375" style="325" customWidth="1"/>
    <col min="2648" max="2648" width="12.875" style="325" customWidth="1"/>
    <col min="2649" max="2649" width="13.75" style="325" customWidth="1"/>
    <col min="2650" max="2650" width="0.75" style="325" customWidth="1"/>
    <col min="2651" max="2651" width="13.75" style="325" customWidth="1"/>
    <col min="2652" max="2655" width="14.375" style="325" customWidth="1"/>
    <col min="2656" max="2656" width="12.875" style="325" customWidth="1"/>
    <col min="2657" max="2657" width="13.75" style="325" customWidth="1"/>
    <col min="2658" max="2658" width="0.75" style="325" customWidth="1"/>
    <col min="2659" max="2659" width="13.75" style="325" customWidth="1"/>
    <col min="2660" max="2663" width="14.375" style="325" customWidth="1"/>
    <col min="2664" max="2664" width="12.875" style="325" customWidth="1"/>
    <col min="2665" max="2665" width="13.75" style="325" customWidth="1"/>
    <col min="2666" max="2666" width="17.5" style="325" customWidth="1"/>
    <col min="2667"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3.75" style="325" customWidth="1"/>
    <col min="2826" max="2826" width="0.75" style="325" customWidth="1"/>
    <col min="2827" max="2827" width="13.75" style="325" customWidth="1"/>
    <col min="2828" max="2831" width="14.375" style="325" customWidth="1"/>
    <col min="2832" max="2832" width="12.875" style="325" customWidth="1"/>
    <col min="2833" max="2833" width="13.75" style="325" customWidth="1"/>
    <col min="2834" max="2834" width="0.75" style="325" customWidth="1"/>
    <col min="2835" max="2835" width="13.75" style="325" customWidth="1"/>
    <col min="2836" max="2839" width="14.375" style="325" customWidth="1"/>
    <col min="2840" max="2840" width="12.875" style="325" customWidth="1"/>
    <col min="2841" max="2841" width="13.75" style="325" customWidth="1"/>
    <col min="2842" max="2842" width="0.75" style="325" customWidth="1"/>
    <col min="2843" max="2843" width="13.75" style="325" customWidth="1"/>
    <col min="2844" max="2847" width="14.375" style="325" customWidth="1"/>
    <col min="2848" max="2848" width="12.875" style="325" customWidth="1"/>
    <col min="2849" max="2849" width="13.75" style="325" customWidth="1"/>
    <col min="2850" max="2850" width="0.75" style="325" customWidth="1"/>
    <col min="2851" max="2851" width="13.75" style="325" customWidth="1"/>
    <col min="2852" max="2855" width="14.375" style="325" customWidth="1"/>
    <col min="2856" max="2856" width="12.875" style="325" customWidth="1"/>
    <col min="2857" max="2857" width="13.75" style="325" customWidth="1"/>
    <col min="2858" max="2858" width="0.75" style="325" customWidth="1"/>
    <col min="2859" max="2859" width="13.75" style="325" customWidth="1"/>
    <col min="2860" max="2863" width="14.375" style="325" customWidth="1"/>
    <col min="2864" max="2864" width="12.875" style="325" customWidth="1"/>
    <col min="2865" max="2865" width="13.75" style="325" customWidth="1"/>
    <col min="2866" max="2866" width="0.75" style="325" customWidth="1"/>
    <col min="2867" max="2867" width="13.75" style="325" customWidth="1"/>
    <col min="2868" max="2871" width="14.375" style="325" customWidth="1"/>
    <col min="2872" max="2872" width="12.875" style="325" customWidth="1"/>
    <col min="2873" max="2873" width="13.75" style="325" customWidth="1"/>
    <col min="2874" max="2874" width="0.75" style="325" customWidth="1"/>
    <col min="2875" max="2875" width="13.75" style="325" customWidth="1"/>
    <col min="2876" max="2879" width="14.375" style="325" customWidth="1"/>
    <col min="2880" max="2880" width="12.875" style="325" customWidth="1"/>
    <col min="2881" max="2881" width="13.75" style="325" customWidth="1"/>
    <col min="2882" max="2882" width="0.75" style="325" customWidth="1"/>
    <col min="2883" max="2883" width="13.75" style="325" customWidth="1"/>
    <col min="2884" max="2887" width="14.375" style="325" customWidth="1"/>
    <col min="2888" max="2888" width="12.875" style="325" customWidth="1"/>
    <col min="2889" max="2889" width="13.75" style="325" customWidth="1"/>
    <col min="2890" max="2890" width="0.75" style="325" customWidth="1"/>
    <col min="2891" max="2891" width="13.75" style="325" customWidth="1"/>
    <col min="2892" max="2895" width="14.375" style="325" customWidth="1"/>
    <col min="2896" max="2896" width="12.875" style="325" customWidth="1"/>
    <col min="2897" max="2897" width="13.75" style="325" customWidth="1"/>
    <col min="2898" max="2898" width="0.75" style="325" customWidth="1"/>
    <col min="2899" max="2899" width="13.75" style="325" customWidth="1"/>
    <col min="2900" max="2903" width="14.375" style="325" customWidth="1"/>
    <col min="2904" max="2904" width="12.875" style="325" customWidth="1"/>
    <col min="2905" max="2905" width="13.75" style="325" customWidth="1"/>
    <col min="2906" max="2906" width="0.75" style="325" customWidth="1"/>
    <col min="2907" max="2907" width="13.75" style="325" customWidth="1"/>
    <col min="2908" max="2911" width="14.375" style="325" customWidth="1"/>
    <col min="2912" max="2912" width="12.875" style="325" customWidth="1"/>
    <col min="2913" max="2913" width="13.75" style="325" customWidth="1"/>
    <col min="2914" max="2914" width="0.75" style="325" customWidth="1"/>
    <col min="2915" max="2915" width="13.75" style="325" customWidth="1"/>
    <col min="2916" max="2919" width="14.375" style="325" customWidth="1"/>
    <col min="2920" max="2920" width="12.875" style="325" customWidth="1"/>
    <col min="2921" max="2921" width="13.75" style="325" customWidth="1"/>
    <col min="2922" max="2922" width="17.5" style="325" customWidth="1"/>
    <col min="2923"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3.75" style="325" customWidth="1"/>
    <col min="3082" max="3082" width="0.75" style="325" customWidth="1"/>
    <col min="3083" max="3083" width="13.75" style="325" customWidth="1"/>
    <col min="3084" max="3087" width="14.375" style="325" customWidth="1"/>
    <col min="3088" max="3088" width="12.875" style="325" customWidth="1"/>
    <col min="3089" max="3089" width="13.75" style="325" customWidth="1"/>
    <col min="3090" max="3090" width="0.75" style="325" customWidth="1"/>
    <col min="3091" max="3091" width="13.75" style="325" customWidth="1"/>
    <col min="3092" max="3095" width="14.375" style="325" customWidth="1"/>
    <col min="3096" max="3096" width="12.875" style="325" customWidth="1"/>
    <col min="3097" max="3097" width="13.75" style="325" customWidth="1"/>
    <col min="3098" max="3098" width="0.75" style="325" customWidth="1"/>
    <col min="3099" max="3099" width="13.75" style="325" customWidth="1"/>
    <col min="3100" max="3103" width="14.375" style="325" customWidth="1"/>
    <col min="3104" max="3104" width="12.875" style="325" customWidth="1"/>
    <col min="3105" max="3105" width="13.75" style="325" customWidth="1"/>
    <col min="3106" max="3106" width="0.75" style="325" customWidth="1"/>
    <col min="3107" max="3107" width="13.75" style="325" customWidth="1"/>
    <col min="3108" max="3111" width="14.375" style="325" customWidth="1"/>
    <col min="3112" max="3112" width="12.875" style="325" customWidth="1"/>
    <col min="3113" max="3113" width="13.75" style="325" customWidth="1"/>
    <col min="3114" max="3114" width="0.75" style="325" customWidth="1"/>
    <col min="3115" max="3115" width="13.75" style="325" customWidth="1"/>
    <col min="3116" max="3119" width="14.375" style="325" customWidth="1"/>
    <col min="3120" max="3120" width="12.875" style="325" customWidth="1"/>
    <col min="3121" max="3121" width="13.75" style="325" customWidth="1"/>
    <col min="3122" max="3122" width="0.75" style="325" customWidth="1"/>
    <col min="3123" max="3123" width="13.75" style="325" customWidth="1"/>
    <col min="3124" max="3127" width="14.375" style="325" customWidth="1"/>
    <col min="3128" max="3128" width="12.875" style="325" customWidth="1"/>
    <col min="3129" max="3129" width="13.75" style="325" customWidth="1"/>
    <col min="3130" max="3130" width="0.75" style="325" customWidth="1"/>
    <col min="3131" max="3131" width="13.75" style="325" customWidth="1"/>
    <col min="3132" max="3135" width="14.375" style="325" customWidth="1"/>
    <col min="3136" max="3136" width="12.875" style="325" customWidth="1"/>
    <col min="3137" max="3137" width="13.75" style="325" customWidth="1"/>
    <col min="3138" max="3138" width="0.75" style="325" customWidth="1"/>
    <col min="3139" max="3139" width="13.75" style="325" customWidth="1"/>
    <col min="3140" max="3143" width="14.375" style="325" customWidth="1"/>
    <col min="3144" max="3144" width="12.875" style="325" customWidth="1"/>
    <col min="3145" max="3145" width="13.75" style="325" customWidth="1"/>
    <col min="3146" max="3146" width="0.75" style="325" customWidth="1"/>
    <col min="3147" max="3147" width="13.75" style="325" customWidth="1"/>
    <col min="3148" max="3151" width="14.375" style="325" customWidth="1"/>
    <col min="3152" max="3152" width="12.875" style="325" customWidth="1"/>
    <col min="3153" max="3153" width="13.75" style="325" customWidth="1"/>
    <col min="3154" max="3154" width="0.75" style="325" customWidth="1"/>
    <col min="3155" max="3155" width="13.75" style="325" customWidth="1"/>
    <col min="3156" max="3159" width="14.375" style="325" customWidth="1"/>
    <col min="3160" max="3160" width="12.875" style="325" customWidth="1"/>
    <col min="3161" max="3161" width="13.75" style="325" customWidth="1"/>
    <col min="3162" max="3162" width="0.75" style="325" customWidth="1"/>
    <col min="3163" max="3163" width="13.75" style="325" customWidth="1"/>
    <col min="3164" max="3167" width="14.375" style="325" customWidth="1"/>
    <col min="3168" max="3168" width="12.875" style="325" customWidth="1"/>
    <col min="3169" max="3169" width="13.75" style="325" customWidth="1"/>
    <col min="3170" max="3170" width="0.75" style="325" customWidth="1"/>
    <col min="3171" max="3171" width="13.75" style="325" customWidth="1"/>
    <col min="3172" max="3175" width="14.375" style="325" customWidth="1"/>
    <col min="3176" max="3176" width="12.875" style="325" customWidth="1"/>
    <col min="3177" max="3177" width="13.75" style="325" customWidth="1"/>
    <col min="3178" max="3178" width="17.5" style="325" customWidth="1"/>
    <col min="3179"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3.75" style="325" customWidth="1"/>
    <col min="3338" max="3338" width="0.75" style="325" customWidth="1"/>
    <col min="3339" max="3339" width="13.75" style="325" customWidth="1"/>
    <col min="3340" max="3343" width="14.375" style="325" customWidth="1"/>
    <col min="3344" max="3344" width="12.875" style="325" customWidth="1"/>
    <col min="3345" max="3345" width="13.75" style="325" customWidth="1"/>
    <col min="3346" max="3346" width="0.75" style="325" customWidth="1"/>
    <col min="3347" max="3347" width="13.75" style="325" customWidth="1"/>
    <col min="3348" max="3351" width="14.375" style="325" customWidth="1"/>
    <col min="3352" max="3352" width="12.875" style="325" customWidth="1"/>
    <col min="3353" max="3353" width="13.75" style="325" customWidth="1"/>
    <col min="3354" max="3354" width="0.75" style="325" customWidth="1"/>
    <col min="3355" max="3355" width="13.75" style="325" customWidth="1"/>
    <col min="3356" max="3359" width="14.375" style="325" customWidth="1"/>
    <col min="3360" max="3360" width="12.875" style="325" customWidth="1"/>
    <col min="3361" max="3361" width="13.75" style="325" customWidth="1"/>
    <col min="3362" max="3362" width="0.75" style="325" customWidth="1"/>
    <col min="3363" max="3363" width="13.75" style="325" customWidth="1"/>
    <col min="3364" max="3367" width="14.375" style="325" customWidth="1"/>
    <col min="3368" max="3368" width="12.875" style="325" customWidth="1"/>
    <col min="3369" max="3369" width="13.75" style="325" customWidth="1"/>
    <col min="3370" max="3370" width="0.75" style="325" customWidth="1"/>
    <col min="3371" max="3371" width="13.75" style="325" customWidth="1"/>
    <col min="3372" max="3375" width="14.375" style="325" customWidth="1"/>
    <col min="3376" max="3376" width="12.875" style="325" customWidth="1"/>
    <col min="3377" max="3377" width="13.75" style="325" customWidth="1"/>
    <col min="3378" max="3378" width="0.75" style="325" customWidth="1"/>
    <col min="3379" max="3379" width="13.75" style="325" customWidth="1"/>
    <col min="3380" max="3383" width="14.375" style="325" customWidth="1"/>
    <col min="3384" max="3384" width="12.875" style="325" customWidth="1"/>
    <col min="3385" max="3385" width="13.75" style="325" customWidth="1"/>
    <col min="3386" max="3386" width="0.75" style="325" customWidth="1"/>
    <col min="3387" max="3387" width="13.75" style="325" customWidth="1"/>
    <col min="3388" max="3391" width="14.375" style="325" customWidth="1"/>
    <col min="3392" max="3392" width="12.875" style="325" customWidth="1"/>
    <col min="3393" max="3393" width="13.75" style="325" customWidth="1"/>
    <col min="3394" max="3394" width="0.75" style="325" customWidth="1"/>
    <col min="3395" max="3395" width="13.75" style="325" customWidth="1"/>
    <col min="3396" max="3399" width="14.375" style="325" customWidth="1"/>
    <col min="3400" max="3400" width="12.875" style="325" customWidth="1"/>
    <col min="3401" max="3401" width="13.75" style="325" customWidth="1"/>
    <col min="3402" max="3402" width="0.75" style="325" customWidth="1"/>
    <col min="3403" max="3403" width="13.75" style="325" customWidth="1"/>
    <col min="3404" max="3407" width="14.375" style="325" customWidth="1"/>
    <col min="3408" max="3408" width="12.875" style="325" customWidth="1"/>
    <col min="3409" max="3409" width="13.75" style="325" customWidth="1"/>
    <col min="3410" max="3410" width="0.75" style="325" customWidth="1"/>
    <col min="3411" max="3411" width="13.75" style="325" customWidth="1"/>
    <col min="3412" max="3415" width="14.375" style="325" customWidth="1"/>
    <col min="3416" max="3416" width="12.875" style="325" customWidth="1"/>
    <col min="3417" max="3417" width="13.75" style="325" customWidth="1"/>
    <col min="3418" max="3418" width="0.75" style="325" customWidth="1"/>
    <col min="3419" max="3419" width="13.75" style="325" customWidth="1"/>
    <col min="3420" max="3423" width="14.375" style="325" customWidth="1"/>
    <col min="3424" max="3424" width="12.875" style="325" customWidth="1"/>
    <col min="3425" max="3425" width="13.75" style="325" customWidth="1"/>
    <col min="3426" max="3426" width="0.75" style="325" customWidth="1"/>
    <col min="3427" max="3427" width="13.75" style="325" customWidth="1"/>
    <col min="3428" max="3431" width="14.375" style="325" customWidth="1"/>
    <col min="3432" max="3432" width="12.875" style="325" customWidth="1"/>
    <col min="3433" max="3433" width="13.75" style="325" customWidth="1"/>
    <col min="3434" max="3434" width="17.5" style="325" customWidth="1"/>
    <col min="3435"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3.75" style="325" customWidth="1"/>
    <col min="3594" max="3594" width="0.75" style="325" customWidth="1"/>
    <col min="3595" max="3595" width="13.75" style="325" customWidth="1"/>
    <col min="3596" max="3599" width="14.375" style="325" customWidth="1"/>
    <col min="3600" max="3600" width="12.875" style="325" customWidth="1"/>
    <col min="3601" max="3601" width="13.75" style="325" customWidth="1"/>
    <col min="3602" max="3602" width="0.75" style="325" customWidth="1"/>
    <col min="3603" max="3603" width="13.75" style="325" customWidth="1"/>
    <col min="3604" max="3607" width="14.375" style="325" customWidth="1"/>
    <col min="3608" max="3608" width="12.875" style="325" customWidth="1"/>
    <col min="3609" max="3609" width="13.75" style="325" customWidth="1"/>
    <col min="3610" max="3610" width="0.75" style="325" customWidth="1"/>
    <col min="3611" max="3611" width="13.75" style="325" customWidth="1"/>
    <col min="3612" max="3615" width="14.375" style="325" customWidth="1"/>
    <col min="3616" max="3616" width="12.875" style="325" customWidth="1"/>
    <col min="3617" max="3617" width="13.75" style="325" customWidth="1"/>
    <col min="3618" max="3618" width="0.75" style="325" customWidth="1"/>
    <col min="3619" max="3619" width="13.75" style="325" customWidth="1"/>
    <col min="3620" max="3623" width="14.375" style="325" customWidth="1"/>
    <col min="3624" max="3624" width="12.875" style="325" customWidth="1"/>
    <col min="3625" max="3625" width="13.75" style="325" customWidth="1"/>
    <col min="3626" max="3626" width="0.75" style="325" customWidth="1"/>
    <col min="3627" max="3627" width="13.75" style="325" customWidth="1"/>
    <col min="3628" max="3631" width="14.375" style="325" customWidth="1"/>
    <col min="3632" max="3632" width="12.875" style="325" customWidth="1"/>
    <col min="3633" max="3633" width="13.75" style="325" customWidth="1"/>
    <col min="3634" max="3634" width="0.75" style="325" customWidth="1"/>
    <col min="3635" max="3635" width="13.75" style="325" customWidth="1"/>
    <col min="3636" max="3639" width="14.375" style="325" customWidth="1"/>
    <col min="3640" max="3640" width="12.875" style="325" customWidth="1"/>
    <col min="3641" max="3641" width="13.75" style="325" customWidth="1"/>
    <col min="3642" max="3642" width="0.75" style="325" customWidth="1"/>
    <col min="3643" max="3643" width="13.75" style="325" customWidth="1"/>
    <col min="3644" max="3647" width="14.375" style="325" customWidth="1"/>
    <col min="3648" max="3648" width="12.875" style="325" customWidth="1"/>
    <col min="3649" max="3649" width="13.75" style="325" customWidth="1"/>
    <col min="3650" max="3650" width="0.75" style="325" customWidth="1"/>
    <col min="3651" max="3651" width="13.75" style="325" customWidth="1"/>
    <col min="3652" max="3655" width="14.375" style="325" customWidth="1"/>
    <col min="3656" max="3656" width="12.875" style="325" customWidth="1"/>
    <col min="3657" max="3657" width="13.75" style="325" customWidth="1"/>
    <col min="3658" max="3658" width="0.75" style="325" customWidth="1"/>
    <col min="3659" max="3659" width="13.75" style="325" customWidth="1"/>
    <col min="3660" max="3663" width="14.375" style="325" customWidth="1"/>
    <col min="3664" max="3664" width="12.875" style="325" customWidth="1"/>
    <col min="3665" max="3665" width="13.75" style="325" customWidth="1"/>
    <col min="3666" max="3666" width="0.75" style="325" customWidth="1"/>
    <col min="3667" max="3667" width="13.75" style="325" customWidth="1"/>
    <col min="3668" max="3671" width="14.375" style="325" customWidth="1"/>
    <col min="3672" max="3672" width="12.875" style="325" customWidth="1"/>
    <col min="3673" max="3673" width="13.75" style="325" customWidth="1"/>
    <col min="3674" max="3674" width="0.75" style="325" customWidth="1"/>
    <col min="3675" max="3675" width="13.75" style="325" customWidth="1"/>
    <col min="3676" max="3679" width="14.375" style="325" customWidth="1"/>
    <col min="3680" max="3680" width="12.875" style="325" customWidth="1"/>
    <col min="3681" max="3681" width="13.75" style="325" customWidth="1"/>
    <col min="3682" max="3682" width="0.75" style="325" customWidth="1"/>
    <col min="3683" max="3683" width="13.75" style="325" customWidth="1"/>
    <col min="3684" max="3687" width="14.375" style="325" customWidth="1"/>
    <col min="3688" max="3688" width="12.875" style="325" customWidth="1"/>
    <col min="3689" max="3689" width="13.75" style="325" customWidth="1"/>
    <col min="3690" max="3690" width="17.5" style="325" customWidth="1"/>
    <col min="3691"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3.75" style="325" customWidth="1"/>
    <col min="3850" max="3850" width="0.75" style="325" customWidth="1"/>
    <col min="3851" max="3851" width="13.75" style="325" customWidth="1"/>
    <col min="3852" max="3855" width="14.375" style="325" customWidth="1"/>
    <col min="3856" max="3856" width="12.875" style="325" customWidth="1"/>
    <col min="3857" max="3857" width="13.75" style="325" customWidth="1"/>
    <col min="3858" max="3858" width="0.75" style="325" customWidth="1"/>
    <col min="3859" max="3859" width="13.75" style="325" customWidth="1"/>
    <col min="3860" max="3863" width="14.375" style="325" customWidth="1"/>
    <col min="3864" max="3864" width="12.875" style="325" customWidth="1"/>
    <col min="3865" max="3865" width="13.75" style="325" customWidth="1"/>
    <col min="3866" max="3866" width="0.75" style="325" customWidth="1"/>
    <col min="3867" max="3867" width="13.75" style="325" customWidth="1"/>
    <col min="3868" max="3871" width="14.375" style="325" customWidth="1"/>
    <col min="3872" max="3872" width="12.875" style="325" customWidth="1"/>
    <col min="3873" max="3873" width="13.75" style="325" customWidth="1"/>
    <col min="3874" max="3874" width="0.75" style="325" customWidth="1"/>
    <col min="3875" max="3875" width="13.75" style="325" customWidth="1"/>
    <col min="3876" max="3879" width="14.375" style="325" customWidth="1"/>
    <col min="3880" max="3880" width="12.875" style="325" customWidth="1"/>
    <col min="3881" max="3881" width="13.75" style="325" customWidth="1"/>
    <col min="3882" max="3882" width="0.75" style="325" customWidth="1"/>
    <col min="3883" max="3883" width="13.75" style="325" customWidth="1"/>
    <col min="3884" max="3887" width="14.375" style="325" customWidth="1"/>
    <col min="3888" max="3888" width="12.875" style="325" customWidth="1"/>
    <col min="3889" max="3889" width="13.75" style="325" customWidth="1"/>
    <col min="3890" max="3890" width="0.75" style="325" customWidth="1"/>
    <col min="3891" max="3891" width="13.75" style="325" customWidth="1"/>
    <col min="3892" max="3895" width="14.375" style="325" customWidth="1"/>
    <col min="3896" max="3896" width="12.875" style="325" customWidth="1"/>
    <col min="3897" max="3897" width="13.75" style="325" customWidth="1"/>
    <col min="3898" max="3898" width="0.75" style="325" customWidth="1"/>
    <col min="3899" max="3899" width="13.75" style="325" customWidth="1"/>
    <col min="3900" max="3903" width="14.375" style="325" customWidth="1"/>
    <col min="3904" max="3904" width="12.875" style="325" customWidth="1"/>
    <col min="3905" max="3905" width="13.75" style="325" customWidth="1"/>
    <col min="3906" max="3906" width="0.75" style="325" customWidth="1"/>
    <col min="3907" max="3907" width="13.75" style="325" customWidth="1"/>
    <col min="3908" max="3911" width="14.375" style="325" customWidth="1"/>
    <col min="3912" max="3912" width="12.875" style="325" customWidth="1"/>
    <col min="3913" max="3913" width="13.75" style="325" customWidth="1"/>
    <col min="3914" max="3914" width="0.75" style="325" customWidth="1"/>
    <col min="3915" max="3915" width="13.75" style="325" customWidth="1"/>
    <col min="3916" max="3919" width="14.375" style="325" customWidth="1"/>
    <col min="3920" max="3920" width="12.875" style="325" customWidth="1"/>
    <col min="3921" max="3921" width="13.75" style="325" customWidth="1"/>
    <col min="3922" max="3922" width="0.75" style="325" customWidth="1"/>
    <col min="3923" max="3923" width="13.75" style="325" customWidth="1"/>
    <col min="3924" max="3927" width="14.375" style="325" customWidth="1"/>
    <col min="3928" max="3928" width="12.875" style="325" customWidth="1"/>
    <col min="3929" max="3929" width="13.75" style="325" customWidth="1"/>
    <col min="3930" max="3930" width="0.75" style="325" customWidth="1"/>
    <col min="3931" max="3931" width="13.75" style="325" customWidth="1"/>
    <col min="3932" max="3935" width="14.375" style="325" customWidth="1"/>
    <col min="3936" max="3936" width="12.875" style="325" customWidth="1"/>
    <col min="3937" max="3937" width="13.75" style="325" customWidth="1"/>
    <col min="3938" max="3938" width="0.75" style="325" customWidth="1"/>
    <col min="3939" max="3939" width="13.75" style="325" customWidth="1"/>
    <col min="3940" max="3943" width="14.375" style="325" customWidth="1"/>
    <col min="3944" max="3944" width="12.875" style="325" customWidth="1"/>
    <col min="3945" max="3945" width="13.75" style="325" customWidth="1"/>
    <col min="3946" max="3946" width="17.5" style="325" customWidth="1"/>
    <col min="3947"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3.75" style="325" customWidth="1"/>
    <col min="4106" max="4106" width="0.75" style="325" customWidth="1"/>
    <col min="4107" max="4107" width="13.75" style="325" customWidth="1"/>
    <col min="4108" max="4111" width="14.375" style="325" customWidth="1"/>
    <col min="4112" max="4112" width="12.875" style="325" customWidth="1"/>
    <col min="4113" max="4113" width="13.75" style="325" customWidth="1"/>
    <col min="4114" max="4114" width="0.75" style="325" customWidth="1"/>
    <col min="4115" max="4115" width="13.75" style="325" customWidth="1"/>
    <col min="4116" max="4119" width="14.375" style="325" customWidth="1"/>
    <col min="4120" max="4120" width="12.875" style="325" customWidth="1"/>
    <col min="4121" max="4121" width="13.75" style="325" customWidth="1"/>
    <col min="4122" max="4122" width="0.75" style="325" customWidth="1"/>
    <col min="4123" max="4123" width="13.75" style="325" customWidth="1"/>
    <col min="4124" max="4127" width="14.375" style="325" customWidth="1"/>
    <col min="4128" max="4128" width="12.875" style="325" customWidth="1"/>
    <col min="4129" max="4129" width="13.75" style="325" customWidth="1"/>
    <col min="4130" max="4130" width="0.75" style="325" customWidth="1"/>
    <col min="4131" max="4131" width="13.75" style="325" customWidth="1"/>
    <col min="4132" max="4135" width="14.375" style="325" customWidth="1"/>
    <col min="4136" max="4136" width="12.875" style="325" customWidth="1"/>
    <col min="4137" max="4137" width="13.75" style="325" customWidth="1"/>
    <col min="4138" max="4138" width="0.75" style="325" customWidth="1"/>
    <col min="4139" max="4139" width="13.75" style="325" customWidth="1"/>
    <col min="4140" max="4143" width="14.375" style="325" customWidth="1"/>
    <col min="4144" max="4144" width="12.875" style="325" customWidth="1"/>
    <col min="4145" max="4145" width="13.75" style="325" customWidth="1"/>
    <col min="4146" max="4146" width="0.75" style="325" customWidth="1"/>
    <col min="4147" max="4147" width="13.75" style="325" customWidth="1"/>
    <col min="4148" max="4151" width="14.375" style="325" customWidth="1"/>
    <col min="4152" max="4152" width="12.875" style="325" customWidth="1"/>
    <col min="4153" max="4153" width="13.75" style="325" customWidth="1"/>
    <col min="4154" max="4154" width="0.75" style="325" customWidth="1"/>
    <col min="4155" max="4155" width="13.75" style="325" customWidth="1"/>
    <col min="4156" max="4159" width="14.375" style="325" customWidth="1"/>
    <col min="4160" max="4160" width="12.875" style="325" customWidth="1"/>
    <col min="4161" max="4161" width="13.75" style="325" customWidth="1"/>
    <col min="4162" max="4162" width="0.75" style="325" customWidth="1"/>
    <col min="4163" max="4163" width="13.75" style="325" customWidth="1"/>
    <col min="4164" max="4167" width="14.375" style="325" customWidth="1"/>
    <col min="4168" max="4168" width="12.875" style="325" customWidth="1"/>
    <col min="4169" max="4169" width="13.75" style="325" customWidth="1"/>
    <col min="4170" max="4170" width="0.75" style="325" customWidth="1"/>
    <col min="4171" max="4171" width="13.75" style="325" customWidth="1"/>
    <col min="4172" max="4175" width="14.375" style="325" customWidth="1"/>
    <col min="4176" max="4176" width="12.875" style="325" customWidth="1"/>
    <col min="4177" max="4177" width="13.75" style="325" customWidth="1"/>
    <col min="4178" max="4178" width="0.75" style="325" customWidth="1"/>
    <col min="4179" max="4179" width="13.75" style="325" customWidth="1"/>
    <col min="4180" max="4183" width="14.375" style="325" customWidth="1"/>
    <col min="4184" max="4184" width="12.875" style="325" customWidth="1"/>
    <col min="4185" max="4185" width="13.75" style="325" customWidth="1"/>
    <col min="4186" max="4186" width="0.75" style="325" customWidth="1"/>
    <col min="4187" max="4187" width="13.75" style="325" customWidth="1"/>
    <col min="4188" max="4191" width="14.375" style="325" customWidth="1"/>
    <col min="4192" max="4192" width="12.875" style="325" customWidth="1"/>
    <col min="4193" max="4193" width="13.75" style="325" customWidth="1"/>
    <col min="4194" max="4194" width="0.75" style="325" customWidth="1"/>
    <col min="4195" max="4195" width="13.75" style="325" customWidth="1"/>
    <col min="4196" max="4199" width="14.375" style="325" customWidth="1"/>
    <col min="4200" max="4200" width="12.875" style="325" customWidth="1"/>
    <col min="4201" max="4201" width="13.75" style="325" customWidth="1"/>
    <col min="4202" max="4202" width="17.5" style="325" customWidth="1"/>
    <col min="4203"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3.75" style="325" customWidth="1"/>
    <col min="4362" max="4362" width="0.75" style="325" customWidth="1"/>
    <col min="4363" max="4363" width="13.75" style="325" customWidth="1"/>
    <col min="4364" max="4367" width="14.375" style="325" customWidth="1"/>
    <col min="4368" max="4368" width="12.875" style="325" customWidth="1"/>
    <col min="4369" max="4369" width="13.75" style="325" customWidth="1"/>
    <col min="4370" max="4370" width="0.75" style="325" customWidth="1"/>
    <col min="4371" max="4371" width="13.75" style="325" customWidth="1"/>
    <col min="4372" max="4375" width="14.375" style="325" customWidth="1"/>
    <col min="4376" max="4376" width="12.875" style="325" customWidth="1"/>
    <col min="4377" max="4377" width="13.75" style="325" customWidth="1"/>
    <col min="4378" max="4378" width="0.75" style="325" customWidth="1"/>
    <col min="4379" max="4379" width="13.75" style="325" customWidth="1"/>
    <col min="4380" max="4383" width="14.375" style="325" customWidth="1"/>
    <col min="4384" max="4384" width="12.875" style="325" customWidth="1"/>
    <col min="4385" max="4385" width="13.75" style="325" customWidth="1"/>
    <col min="4386" max="4386" width="0.75" style="325" customWidth="1"/>
    <col min="4387" max="4387" width="13.75" style="325" customWidth="1"/>
    <col min="4388" max="4391" width="14.375" style="325" customWidth="1"/>
    <col min="4392" max="4392" width="12.875" style="325" customWidth="1"/>
    <col min="4393" max="4393" width="13.75" style="325" customWidth="1"/>
    <col min="4394" max="4394" width="0.75" style="325" customWidth="1"/>
    <col min="4395" max="4395" width="13.75" style="325" customWidth="1"/>
    <col min="4396" max="4399" width="14.375" style="325" customWidth="1"/>
    <col min="4400" max="4400" width="12.875" style="325" customWidth="1"/>
    <col min="4401" max="4401" width="13.75" style="325" customWidth="1"/>
    <col min="4402" max="4402" width="0.75" style="325" customWidth="1"/>
    <col min="4403" max="4403" width="13.75" style="325" customWidth="1"/>
    <col min="4404" max="4407" width="14.375" style="325" customWidth="1"/>
    <col min="4408" max="4408" width="12.875" style="325" customWidth="1"/>
    <col min="4409" max="4409" width="13.75" style="325" customWidth="1"/>
    <col min="4410" max="4410" width="0.75" style="325" customWidth="1"/>
    <col min="4411" max="4411" width="13.75" style="325" customWidth="1"/>
    <col min="4412" max="4415" width="14.375" style="325" customWidth="1"/>
    <col min="4416" max="4416" width="12.875" style="325" customWidth="1"/>
    <col min="4417" max="4417" width="13.75" style="325" customWidth="1"/>
    <col min="4418" max="4418" width="0.75" style="325" customWidth="1"/>
    <col min="4419" max="4419" width="13.75" style="325" customWidth="1"/>
    <col min="4420" max="4423" width="14.375" style="325" customWidth="1"/>
    <col min="4424" max="4424" width="12.875" style="325" customWidth="1"/>
    <col min="4425" max="4425" width="13.75" style="325" customWidth="1"/>
    <col min="4426" max="4426" width="0.75" style="325" customWidth="1"/>
    <col min="4427" max="4427" width="13.75" style="325" customWidth="1"/>
    <col min="4428" max="4431" width="14.375" style="325" customWidth="1"/>
    <col min="4432" max="4432" width="12.875" style="325" customWidth="1"/>
    <col min="4433" max="4433" width="13.75" style="325" customWidth="1"/>
    <col min="4434" max="4434" width="0.75" style="325" customWidth="1"/>
    <col min="4435" max="4435" width="13.75" style="325" customWidth="1"/>
    <col min="4436" max="4439" width="14.375" style="325" customWidth="1"/>
    <col min="4440" max="4440" width="12.875" style="325" customWidth="1"/>
    <col min="4441" max="4441" width="13.75" style="325" customWidth="1"/>
    <col min="4442" max="4442" width="0.75" style="325" customWidth="1"/>
    <col min="4443" max="4443" width="13.75" style="325" customWidth="1"/>
    <col min="4444" max="4447" width="14.375" style="325" customWidth="1"/>
    <col min="4448" max="4448" width="12.875" style="325" customWidth="1"/>
    <col min="4449" max="4449" width="13.75" style="325" customWidth="1"/>
    <col min="4450" max="4450" width="0.75" style="325" customWidth="1"/>
    <col min="4451" max="4451" width="13.75" style="325" customWidth="1"/>
    <col min="4452" max="4455" width="14.375" style="325" customWidth="1"/>
    <col min="4456" max="4456" width="12.875" style="325" customWidth="1"/>
    <col min="4457" max="4457" width="13.75" style="325" customWidth="1"/>
    <col min="4458" max="4458" width="17.5" style="325" customWidth="1"/>
    <col min="4459"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3.75" style="325" customWidth="1"/>
    <col min="4618" max="4618" width="0.75" style="325" customWidth="1"/>
    <col min="4619" max="4619" width="13.75" style="325" customWidth="1"/>
    <col min="4620" max="4623" width="14.375" style="325" customWidth="1"/>
    <col min="4624" max="4624" width="12.875" style="325" customWidth="1"/>
    <col min="4625" max="4625" width="13.75" style="325" customWidth="1"/>
    <col min="4626" max="4626" width="0.75" style="325" customWidth="1"/>
    <col min="4627" max="4627" width="13.75" style="325" customWidth="1"/>
    <col min="4628" max="4631" width="14.375" style="325" customWidth="1"/>
    <col min="4632" max="4632" width="12.875" style="325" customWidth="1"/>
    <col min="4633" max="4633" width="13.75" style="325" customWidth="1"/>
    <col min="4634" max="4634" width="0.75" style="325" customWidth="1"/>
    <col min="4635" max="4635" width="13.75" style="325" customWidth="1"/>
    <col min="4636" max="4639" width="14.375" style="325" customWidth="1"/>
    <col min="4640" max="4640" width="12.875" style="325" customWidth="1"/>
    <col min="4641" max="4641" width="13.75" style="325" customWidth="1"/>
    <col min="4642" max="4642" width="0.75" style="325" customWidth="1"/>
    <col min="4643" max="4643" width="13.75" style="325" customWidth="1"/>
    <col min="4644" max="4647" width="14.375" style="325" customWidth="1"/>
    <col min="4648" max="4648" width="12.875" style="325" customWidth="1"/>
    <col min="4649" max="4649" width="13.75" style="325" customWidth="1"/>
    <col min="4650" max="4650" width="0.75" style="325" customWidth="1"/>
    <col min="4651" max="4651" width="13.75" style="325" customWidth="1"/>
    <col min="4652" max="4655" width="14.375" style="325" customWidth="1"/>
    <col min="4656" max="4656" width="12.875" style="325" customWidth="1"/>
    <col min="4657" max="4657" width="13.75" style="325" customWidth="1"/>
    <col min="4658" max="4658" width="0.75" style="325" customWidth="1"/>
    <col min="4659" max="4659" width="13.75" style="325" customWidth="1"/>
    <col min="4660" max="4663" width="14.375" style="325" customWidth="1"/>
    <col min="4664" max="4664" width="12.875" style="325" customWidth="1"/>
    <col min="4665" max="4665" width="13.75" style="325" customWidth="1"/>
    <col min="4666" max="4666" width="0.75" style="325" customWidth="1"/>
    <col min="4667" max="4667" width="13.75" style="325" customWidth="1"/>
    <col min="4668" max="4671" width="14.375" style="325" customWidth="1"/>
    <col min="4672" max="4672" width="12.875" style="325" customWidth="1"/>
    <col min="4673" max="4673" width="13.75" style="325" customWidth="1"/>
    <col min="4674" max="4674" width="0.75" style="325" customWidth="1"/>
    <col min="4675" max="4675" width="13.75" style="325" customWidth="1"/>
    <col min="4676" max="4679" width="14.375" style="325" customWidth="1"/>
    <col min="4680" max="4680" width="12.875" style="325" customWidth="1"/>
    <col min="4681" max="4681" width="13.75" style="325" customWidth="1"/>
    <col min="4682" max="4682" width="0.75" style="325" customWidth="1"/>
    <col min="4683" max="4683" width="13.75" style="325" customWidth="1"/>
    <col min="4684" max="4687" width="14.375" style="325" customWidth="1"/>
    <col min="4688" max="4688" width="12.875" style="325" customWidth="1"/>
    <col min="4689" max="4689" width="13.75" style="325" customWidth="1"/>
    <col min="4690" max="4690" width="0.75" style="325" customWidth="1"/>
    <col min="4691" max="4691" width="13.75" style="325" customWidth="1"/>
    <col min="4692" max="4695" width="14.375" style="325" customWidth="1"/>
    <col min="4696" max="4696" width="12.875" style="325" customWidth="1"/>
    <col min="4697" max="4697" width="13.75" style="325" customWidth="1"/>
    <col min="4698" max="4698" width="0.75" style="325" customWidth="1"/>
    <col min="4699" max="4699" width="13.75" style="325" customWidth="1"/>
    <col min="4700" max="4703" width="14.375" style="325" customWidth="1"/>
    <col min="4704" max="4704" width="12.875" style="325" customWidth="1"/>
    <col min="4705" max="4705" width="13.75" style="325" customWidth="1"/>
    <col min="4706" max="4706" width="0.75" style="325" customWidth="1"/>
    <col min="4707" max="4707" width="13.75" style="325" customWidth="1"/>
    <col min="4708" max="4711" width="14.375" style="325" customWidth="1"/>
    <col min="4712" max="4712" width="12.875" style="325" customWidth="1"/>
    <col min="4713" max="4713" width="13.75" style="325" customWidth="1"/>
    <col min="4714" max="4714" width="17.5" style="325" customWidth="1"/>
    <col min="4715"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3.75" style="325" customWidth="1"/>
    <col min="4874" max="4874" width="0.75" style="325" customWidth="1"/>
    <col min="4875" max="4875" width="13.75" style="325" customWidth="1"/>
    <col min="4876" max="4879" width="14.375" style="325" customWidth="1"/>
    <col min="4880" max="4880" width="12.875" style="325" customWidth="1"/>
    <col min="4881" max="4881" width="13.75" style="325" customWidth="1"/>
    <col min="4882" max="4882" width="0.75" style="325" customWidth="1"/>
    <col min="4883" max="4883" width="13.75" style="325" customWidth="1"/>
    <col min="4884" max="4887" width="14.375" style="325" customWidth="1"/>
    <col min="4888" max="4888" width="12.875" style="325" customWidth="1"/>
    <col min="4889" max="4889" width="13.75" style="325" customWidth="1"/>
    <col min="4890" max="4890" width="0.75" style="325" customWidth="1"/>
    <col min="4891" max="4891" width="13.75" style="325" customWidth="1"/>
    <col min="4892" max="4895" width="14.375" style="325" customWidth="1"/>
    <col min="4896" max="4896" width="12.875" style="325" customWidth="1"/>
    <col min="4897" max="4897" width="13.75" style="325" customWidth="1"/>
    <col min="4898" max="4898" width="0.75" style="325" customWidth="1"/>
    <col min="4899" max="4899" width="13.75" style="325" customWidth="1"/>
    <col min="4900" max="4903" width="14.375" style="325" customWidth="1"/>
    <col min="4904" max="4904" width="12.875" style="325" customWidth="1"/>
    <col min="4905" max="4905" width="13.75" style="325" customWidth="1"/>
    <col min="4906" max="4906" width="0.75" style="325" customWidth="1"/>
    <col min="4907" max="4907" width="13.75" style="325" customWidth="1"/>
    <col min="4908" max="4911" width="14.375" style="325" customWidth="1"/>
    <col min="4912" max="4912" width="12.875" style="325" customWidth="1"/>
    <col min="4913" max="4913" width="13.75" style="325" customWidth="1"/>
    <col min="4914" max="4914" width="0.75" style="325" customWidth="1"/>
    <col min="4915" max="4915" width="13.75" style="325" customWidth="1"/>
    <col min="4916" max="4919" width="14.375" style="325" customWidth="1"/>
    <col min="4920" max="4920" width="12.875" style="325" customWidth="1"/>
    <col min="4921" max="4921" width="13.75" style="325" customWidth="1"/>
    <col min="4922" max="4922" width="0.75" style="325" customWidth="1"/>
    <col min="4923" max="4923" width="13.75" style="325" customWidth="1"/>
    <col min="4924" max="4927" width="14.375" style="325" customWidth="1"/>
    <col min="4928" max="4928" width="12.875" style="325" customWidth="1"/>
    <col min="4929" max="4929" width="13.75" style="325" customWidth="1"/>
    <col min="4930" max="4930" width="0.75" style="325" customWidth="1"/>
    <col min="4931" max="4931" width="13.75" style="325" customWidth="1"/>
    <col min="4932" max="4935" width="14.375" style="325" customWidth="1"/>
    <col min="4936" max="4936" width="12.875" style="325" customWidth="1"/>
    <col min="4937" max="4937" width="13.75" style="325" customWidth="1"/>
    <col min="4938" max="4938" width="0.75" style="325" customWidth="1"/>
    <col min="4939" max="4939" width="13.75" style="325" customWidth="1"/>
    <col min="4940" max="4943" width="14.375" style="325" customWidth="1"/>
    <col min="4944" max="4944" width="12.875" style="325" customWidth="1"/>
    <col min="4945" max="4945" width="13.75" style="325" customWidth="1"/>
    <col min="4946" max="4946" width="0.75" style="325" customWidth="1"/>
    <col min="4947" max="4947" width="13.75" style="325" customWidth="1"/>
    <col min="4948" max="4951" width="14.375" style="325" customWidth="1"/>
    <col min="4952" max="4952" width="12.875" style="325" customWidth="1"/>
    <col min="4953" max="4953" width="13.75" style="325" customWidth="1"/>
    <col min="4954" max="4954" width="0.75" style="325" customWidth="1"/>
    <col min="4955" max="4955" width="13.75" style="325" customWidth="1"/>
    <col min="4956" max="4959" width="14.375" style="325" customWidth="1"/>
    <col min="4960" max="4960" width="12.875" style="325" customWidth="1"/>
    <col min="4961" max="4961" width="13.75" style="325" customWidth="1"/>
    <col min="4962" max="4962" width="0.75" style="325" customWidth="1"/>
    <col min="4963" max="4963" width="13.75" style="325" customWidth="1"/>
    <col min="4964" max="4967" width="14.375" style="325" customWidth="1"/>
    <col min="4968" max="4968" width="12.875" style="325" customWidth="1"/>
    <col min="4969" max="4969" width="13.75" style="325" customWidth="1"/>
    <col min="4970" max="4970" width="17.5" style="325" customWidth="1"/>
    <col min="4971"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3.75" style="325" customWidth="1"/>
    <col min="5130" max="5130" width="0.75" style="325" customWidth="1"/>
    <col min="5131" max="5131" width="13.75" style="325" customWidth="1"/>
    <col min="5132" max="5135" width="14.375" style="325" customWidth="1"/>
    <col min="5136" max="5136" width="12.875" style="325" customWidth="1"/>
    <col min="5137" max="5137" width="13.75" style="325" customWidth="1"/>
    <col min="5138" max="5138" width="0.75" style="325" customWidth="1"/>
    <col min="5139" max="5139" width="13.75" style="325" customWidth="1"/>
    <col min="5140" max="5143" width="14.375" style="325" customWidth="1"/>
    <col min="5144" max="5144" width="12.875" style="325" customWidth="1"/>
    <col min="5145" max="5145" width="13.75" style="325" customWidth="1"/>
    <col min="5146" max="5146" width="0.75" style="325" customWidth="1"/>
    <col min="5147" max="5147" width="13.75" style="325" customWidth="1"/>
    <col min="5148" max="5151" width="14.375" style="325" customWidth="1"/>
    <col min="5152" max="5152" width="12.875" style="325" customWidth="1"/>
    <col min="5153" max="5153" width="13.75" style="325" customWidth="1"/>
    <col min="5154" max="5154" width="0.75" style="325" customWidth="1"/>
    <col min="5155" max="5155" width="13.75" style="325" customWidth="1"/>
    <col min="5156" max="5159" width="14.375" style="325" customWidth="1"/>
    <col min="5160" max="5160" width="12.875" style="325" customWidth="1"/>
    <col min="5161" max="5161" width="13.75" style="325" customWidth="1"/>
    <col min="5162" max="5162" width="0.75" style="325" customWidth="1"/>
    <col min="5163" max="5163" width="13.75" style="325" customWidth="1"/>
    <col min="5164" max="5167" width="14.375" style="325" customWidth="1"/>
    <col min="5168" max="5168" width="12.875" style="325" customWidth="1"/>
    <col min="5169" max="5169" width="13.75" style="325" customWidth="1"/>
    <col min="5170" max="5170" width="0.75" style="325" customWidth="1"/>
    <col min="5171" max="5171" width="13.75" style="325" customWidth="1"/>
    <col min="5172" max="5175" width="14.375" style="325" customWidth="1"/>
    <col min="5176" max="5176" width="12.875" style="325" customWidth="1"/>
    <col min="5177" max="5177" width="13.75" style="325" customWidth="1"/>
    <col min="5178" max="5178" width="0.75" style="325" customWidth="1"/>
    <col min="5179" max="5179" width="13.75" style="325" customWidth="1"/>
    <col min="5180" max="5183" width="14.375" style="325" customWidth="1"/>
    <col min="5184" max="5184" width="12.875" style="325" customWidth="1"/>
    <col min="5185" max="5185" width="13.75" style="325" customWidth="1"/>
    <col min="5186" max="5186" width="0.75" style="325" customWidth="1"/>
    <col min="5187" max="5187" width="13.75" style="325" customWidth="1"/>
    <col min="5188" max="5191" width="14.375" style="325" customWidth="1"/>
    <col min="5192" max="5192" width="12.875" style="325" customWidth="1"/>
    <col min="5193" max="5193" width="13.75" style="325" customWidth="1"/>
    <col min="5194" max="5194" width="0.75" style="325" customWidth="1"/>
    <col min="5195" max="5195" width="13.75" style="325" customWidth="1"/>
    <col min="5196" max="5199" width="14.375" style="325" customWidth="1"/>
    <col min="5200" max="5200" width="12.875" style="325" customWidth="1"/>
    <col min="5201" max="5201" width="13.75" style="325" customWidth="1"/>
    <col min="5202" max="5202" width="0.75" style="325" customWidth="1"/>
    <col min="5203" max="5203" width="13.75" style="325" customWidth="1"/>
    <col min="5204" max="5207" width="14.375" style="325" customWidth="1"/>
    <col min="5208" max="5208" width="12.875" style="325" customWidth="1"/>
    <col min="5209" max="5209" width="13.75" style="325" customWidth="1"/>
    <col min="5210" max="5210" width="0.75" style="325" customWidth="1"/>
    <col min="5211" max="5211" width="13.75" style="325" customWidth="1"/>
    <col min="5212" max="5215" width="14.375" style="325" customWidth="1"/>
    <col min="5216" max="5216" width="12.875" style="325" customWidth="1"/>
    <col min="5217" max="5217" width="13.75" style="325" customWidth="1"/>
    <col min="5218" max="5218" width="0.75" style="325" customWidth="1"/>
    <col min="5219" max="5219" width="13.75" style="325" customWidth="1"/>
    <col min="5220" max="5223" width="14.375" style="325" customWidth="1"/>
    <col min="5224" max="5224" width="12.875" style="325" customWidth="1"/>
    <col min="5225" max="5225" width="13.75" style="325" customWidth="1"/>
    <col min="5226" max="5226" width="17.5" style="325" customWidth="1"/>
    <col min="5227"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3.75" style="325" customWidth="1"/>
    <col min="5386" max="5386" width="0.75" style="325" customWidth="1"/>
    <col min="5387" max="5387" width="13.75" style="325" customWidth="1"/>
    <col min="5388" max="5391" width="14.375" style="325" customWidth="1"/>
    <col min="5392" max="5392" width="12.875" style="325" customWidth="1"/>
    <col min="5393" max="5393" width="13.75" style="325" customWidth="1"/>
    <col min="5394" max="5394" width="0.75" style="325" customWidth="1"/>
    <col min="5395" max="5395" width="13.75" style="325" customWidth="1"/>
    <col min="5396" max="5399" width="14.375" style="325" customWidth="1"/>
    <col min="5400" max="5400" width="12.875" style="325" customWidth="1"/>
    <col min="5401" max="5401" width="13.75" style="325" customWidth="1"/>
    <col min="5402" max="5402" width="0.75" style="325" customWidth="1"/>
    <col min="5403" max="5403" width="13.75" style="325" customWidth="1"/>
    <col min="5404" max="5407" width="14.375" style="325" customWidth="1"/>
    <col min="5408" max="5408" width="12.875" style="325" customWidth="1"/>
    <col min="5409" max="5409" width="13.75" style="325" customWidth="1"/>
    <col min="5410" max="5410" width="0.75" style="325" customWidth="1"/>
    <col min="5411" max="5411" width="13.75" style="325" customWidth="1"/>
    <col min="5412" max="5415" width="14.375" style="325" customWidth="1"/>
    <col min="5416" max="5416" width="12.875" style="325" customWidth="1"/>
    <col min="5417" max="5417" width="13.75" style="325" customWidth="1"/>
    <col min="5418" max="5418" width="0.75" style="325" customWidth="1"/>
    <col min="5419" max="5419" width="13.75" style="325" customWidth="1"/>
    <col min="5420" max="5423" width="14.375" style="325" customWidth="1"/>
    <col min="5424" max="5424" width="12.875" style="325" customWidth="1"/>
    <col min="5425" max="5425" width="13.75" style="325" customWidth="1"/>
    <col min="5426" max="5426" width="0.75" style="325" customWidth="1"/>
    <col min="5427" max="5427" width="13.75" style="325" customWidth="1"/>
    <col min="5428" max="5431" width="14.375" style="325" customWidth="1"/>
    <col min="5432" max="5432" width="12.875" style="325" customWidth="1"/>
    <col min="5433" max="5433" width="13.75" style="325" customWidth="1"/>
    <col min="5434" max="5434" width="0.75" style="325" customWidth="1"/>
    <col min="5435" max="5435" width="13.75" style="325" customWidth="1"/>
    <col min="5436" max="5439" width="14.375" style="325" customWidth="1"/>
    <col min="5440" max="5440" width="12.875" style="325" customWidth="1"/>
    <col min="5441" max="5441" width="13.75" style="325" customWidth="1"/>
    <col min="5442" max="5442" width="0.75" style="325" customWidth="1"/>
    <col min="5443" max="5443" width="13.75" style="325" customWidth="1"/>
    <col min="5444" max="5447" width="14.375" style="325" customWidth="1"/>
    <col min="5448" max="5448" width="12.875" style="325" customWidth="1"/>
    <col min="5449" max="5449" width="13.75" style="325" customWidth="1"/>
    <col min="5450" max="5450" width="0.75" style="325" customWidth="1"/>
    <col min="5451" max="5451" width="13.75" style="325" customWidth="1"/>
    <col min="5452" max="5455" width="14.375" style="325" customWidth="1"/>
    <col min="5456" max="5456" width="12.875" style="325" customWidth="1"/>
    <col min="5457" max="5457" width="13.75" style="325" customWidth="1"/>
    <col min="5458" max="5458" width="0.75" style="325" customWidth="1"/>
    <col min="5459" max="5459" width="13.75" style="325" customWidth="1"/>
    <col min="5460" max="5463" width="14.375" style="325" customWidth="1"/>
    <col min="5464" max="5464" width="12.875" style="325" customWidth="1"/>
    <col min="5465" max="5465" width="13.75" style="325" customWidth="1"/>
    <col min="5466" max="5466" width="0.75" style="325" customWidth="1"/>
    <col min="5467" max="5467" width="13.75" style="325" customWidth="1"/>
    <col min="5468" max="5471" width="14.375" style="325" customWidth="1"/>
    <col min="5472" max="5472" width="12.875" style="325" customWidth="1"/>
    <col min="5473" max="5473" width="13.75" style="325" customWidth="1"/>
    <col min="5474" max="5474" width="0.75" style="325" customWidth="1"/>
    <col min="5475" max="5475" width="13.75" style="325" customWidth="1"/>
    <col min="5476" max="5479" width="14.375" style="325" customWidth="1"/>
    <col min="5480" max="5480" width="12.875" style="325" customWidth="1"/>
    <col min="5481" max="5481" width="13.75" style="325" customWidth="1"/>
    <col min="5482" max="5482" width="17.5" style="325" customWidth="1"/>
    <col min="5483"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3.75" style="325" customWidth="1"/>
    <col min="5642" max="5642" width="0.75" style="325" customWidth="1"/>
    <col min="5643" max="5643" width="13.75" style="325" customWidth="1"/>
    <col min="5644" max="5647" width="14.375" style="325" customWidth="1"/>
    <col min="5648" max="5648" width="12.875" style="325" customWidth="1"/>
    <col min="5649" max="5649" width="13.75" style="325" customWidth="1"/>
    <col min="5650" max="5650" width="0.75" style="325" customWidth="1"/>
    <col min="5651" max="5651" width="13.75" style="325" customWidth="1"/>
    <col min="5652" max="5655" width="14.375" style="325" customWidth="1"/>
    <col min="5656" max="5656" width="12.875" style="325" customWidth="1"/>
    <col min="5657" max="5657" width="13.75" style="325" customWidth="1"/>
    <col min="5658" max="5658" width="0.75" style="325" customWidth="1"/>
    <col min="5659" max="5659" width="13.75" style="325" customWidth="1"/>
    <col min="5660" max="5663" width="14.375" style="325" customWidth="1"/>
    <col min="5664" max="5664" width="12.875" style="325" customWidth="1"/>
    <col min="5665" max="5665" width="13.75" style="325" customWidth="1"/>
    <col min="5666" max="5666" width="0.75" style="325" customWidth="1"/>
    <col min="5667" max="5667" width="13.75" style="325" customWidth="1"/>
    <col min="5668" max="5671" width="14.375" style="325" customWidth="1"/>
    <col min="5672" max="5672" width="12.875" style="325" customWidth="1"/>
    <col min="5673" max="5673" width="13.75" style="325" customWidth="1"/>
    <col min="5674" max="5674" width="0.75" style="325" customWidth="1"/>
    <col min="5675" max="5675" width="13.75" style="325" customWidth="1"/>
    <col min="5676" max="5679" width="14.375" style="325" customWidth="1"/>
    <col min="5680" max="5680" width="12.875" style="325" customWidth="1"/>
    <col min="5681" max="5681" width="13.75" style="325" customWidth="1"/>
    <col min="5682" max="5682" width="0.75" style="325" customWidth="1"/>
    <col min="5683" max="5683" width="13.75" style="325" customWidth="1"/>
    <col min="5684" max="5687" width="14.375" style="325" customWidth="1"/>
    <col min="5688" max="5688" width="12.875" style="325" customWidth="1"/>
    <col min="5689" max="5689" width="13.75" style="325" customWidth="1"/>
    <col min="5690" max="5690" width="0.75" style="325" customWidth="1"/>
    <col min="5691" max="5691" width="13.75" style="325" customWidth="1"/>
    <col min="5692" max="5695" width="14.375" style="325" customWidth="1"/>
    <col min="5696" max="5696" width="12.875" style="325" customWidth="1"/>
    <col min="5697" max="5697" width="13.75" style="325" customWidth="1"/>
    <col min="5698" max="5698" width="0.75" style="325" customWidth="1"/>
    <col min="5699" max="5699" width="13.75" style="325" customWidth="1"/>
    <col min="5700" max="5703" width="14.375" style="325" customWidth="1"/>
    <col min="5704" max="5704" width="12.875" style="325" customWidth="1"/>
    <col min="5705" max="5705" width="13.75" style="325" customWidth="1"/>
    <col min="5706" max="5706" width="0.75" style="325" customWidth="1"/>
    <col min="5707" max="5707" width="13.75" style="325" customWidth="1"/>
    <col min="5708" max="5711" width="14.375" style="325" customWidth="1"/>
    <col min="5712" max="5712" width="12.875" style="325" customWidth="1"/>
    <col min="5713" max="5713" width="13.75" style="325" customWidth="1"/>
    <col min="5714" max="5714" width="0.75" style="325" customWidth="1"/>
    <col min="5715" max="5715" width="13.75" style="325" customWidth="1"/>
    <col min="5716" max="5719" width="14.375" style="325" customWidth="1"/>
    <col min="5720" max="5720" width="12.875" style="325" customWidth="1"/>
    <col min="5721" max="5721" width="13.75" style="325" customWidth="1"/>
    <col min="5722" max="5722" width="0.75" style="325" customWidth="1"/>
    <col min="5723" max="5723" width="13.75" style="325" customWidth="1"/>
    <col min="5724" max="5727" width="14.375" style="325" customWidth="1"/>
    <col min="5728" max="5728" width="12.875" style="325" customWidth="1"/>
    <col min="5729" max="5729" width="13.75" style="325" customWidth="1"/>
    <col min="5730" max="5730" width="0.75" style="325" customWidth="1"/>
    <col min="5731" max="5731" width="13.75" style="325" customWidth="1"/>
    <col min="5732" max="5735" width="14.375" style="325" customWidth="1"/>
    <col min="5736" max="5736" width="12.875" style="325" customWidth="1"/>
    <col min="5737" max="5737" width="13.75" style="325" customWidth="1"/>
    <col min="5738" max="5738" width="17.5" style="325" customWidth="1"/>
    <col min="5739"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3.75" style="325" customWidth="1"/>
    <col min="5898" max="5898" width="0.75" style="325" customWidth="1"/>
    <col min="5899" max="5899" width="13.75" style="325" customWidth="1"/>
    <col min="5900" max="5903" width="14.375" style="325" customWidth="1"/>
    <col min="5904" max="5904" width="12.875" style="325" customWidth="1"/>
    <col min="5905" max="5905" width="13.75" style="325" customWidth="1"/>
    <col min="5906" max="5906" width="0.75" style="325" customWidth="1"/>
    <col min="5907" max="5907" width="13.75" style="325" customWidth="1"/>
    <col min="5908" max="5911" width="14.375" style="325" customWidth="1"/>
    <col min="5912" max="5912" width="12.875" style="325" customWidth="1"/>
    <col min="5913" max="5913" width="13.75" style="325" customWidth="1"/>
    <col min="5914" max="5914" width="0.75" style="325" customWidth="1"/>
    <col min="5915" max="5915" width="13.75" style="325" customWidth="1"/>
    <col min="5916" max="5919" width="14.375" style="325" customWidth="1"/>
    <col min="5920" max="5920" width="12.875" style="325" customWidth="1"/>
    <col min="5921" max="5921" width="13.75" style="325" customWidth="1"/>
    <col min="5922" max="5922" width="0.75" style="325" customWidth="1"/>
    <col min="5923" max="5923" width="13.75" style="325" customWidth="1"/>
    <col min="5924" max="5927" width="14.375" style="325" customWidth="1"/>
    <col min="5928" max="5928" width="12.875" style="325" customWidth="1"/>
    <col min="5929" max="5929" width="13.75" style="325" customWidth="1"/>
    <col min="5930" max="5930" width="0.75" style="325" customWidth="1"/>
    <col min="5931" max="5931" width="13.75" style="325" customWidth="1"/>
    <col min="5932" max="5935" width="14.375" style="325" customWidth="1"/>
    <col min="5936" max="5936" width="12.875" style="325" customWidth="1"/>
    <col min="5937" max="5937" width="13.75" style="325" customWidth="1"/>
    <col min="5938" max="5938" width="0.75" style="325" customWidth="1"/>
    <col min="5939" max="5939" width="13.75" style="325" customWidth="1"/>
    <col min="5940" max="5943" width="14.375" style="325" customWidth="1"/>
    <col min="5944" max="5944" width="12.875" style="325" customWidth="1"/>
    <col min="5945" max="5945" width="13.75" style="325" customWidth="1"/>
    <col min="5946" max="5946" width="0.75" style="325" customWidth="1"/>
    <col min="5947" max="5947" width="13.75" style="325" customWidth="1"/>
    <col min="5948" max="5951" width="14.375" style="325" customWidth="1"/>
    <col min="5952" max="5952" width="12.875" style="325" customWidth="1"/>
    <col min="5953" max="5953" width="13.75" style="325" customWidth="1"/>
    <col min="5954" max="5954" width="0.75" style="325" customWidth="1"/>
    <col min="5955" max="5955" width="13.75" style="325" customWidth="1"/>
    <col min="5956" max="5959" width="14.375" style="325" customWidth="1"/>
    <col min="5960" max="5960" width="12.875" style="325" customWidth="1"/>
    <col min="5961" max="5961" width="13.75" style="325" customWidth="1"/>
    <col min="5962" max="5962" width="0.75" style="325" customWidth="1"/>
    <col min="5963" max="5963" width="13.75" style="325" customWidth="1"/>
    <col min="5964" max="5967" width="14.375" style="325" customWidth="1"/>
    <col min="5968" max="5968" width="12.875" style="325" customWidth="1"/>
    <col min="5969" max="5969" width="13.75" style="325" customWidth="1"/>
    <col min="5970" max="5970" width="0.75" style="325" customWidth="1"/>
    <col min="5971" max="5971" width="13.75" style="325" customWidth="1"/>
    <col min="5972" max="5975" width="14.375" style="325" customWidth="1"/>
    <col min="5976" max="5976" width="12.875" style="325" customWidth="1"/>
    <col min="5977" max="5977" width="13.75" style="325" customWidth="1"/>
    <col min="5978" max="5978" width="0.75" style="325" customWidth="1"/>
    <col min="5979" max="5979" width="13.75" style="325" customWidth="1"/>
    <col min="5980" max="5983" width="14.375" style="325" customWidth="1"/>
    <col min="5984" max="5984" width="12.875" style="325" customWidth="1"/>
    <col min="5985" max="5985" width="13.75" style="325" customWidth="1"/>
    <col min="5986" max="5986" width="0.75" style="325" customWidth="1"/>
    <col min="5987" max="5987" width="13.75" style="325" customWidth="1"/>
    <col min="5988" max="5991" width="14.375" style="325" customWidth="1"/>
    <col min="5992" max="5992" width="12.875" style="325" customWidth="1"/>
    <col min="5993" max="5993" width="13.75" style="325" customWidth="1"/>
    <col min="5994" max="5994" width="17.5" style="325" customWidth="1"/>
    <col min="5995"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3.75" style="325" customWidth="1"/>
    <col min="6154" max="6154" width="0.75" style="325" customWidth="1"/>
    <col min="6155" max="6155" width="13.75" style="325" customWidth="1"/>
    <col min="6156" max="6159" width="14.375" style="325" customWidth="1"/>
    <col min="6160" max="6160" width="12.875" style="325" customWidth="1"/>
    <col min="6161" max="6161" width="13.75" style="325" customWidth="1"/>
    <col min="6162" max="6162" width="0.75" style="325" customWidth="1"/>
    <col min="6163" max="6163" width="13.75" style="325" customWidth="1"/>
    <col min="6164" max="6167" width="14.375" style="325" customWidth="1"/>
    <col min="6168" max="6168" width="12.875" style="325" customWidth="1"/>
    <col min="6169" max="6169" width="13.75" style="325" customWidth="1"/>
    <col min="6170" max="6170" width="0.75" style="325" customWidth="1"/>
    <col min="6171" max="6171" width="13.75" style="325" customWidth="1"/>
    <col min="6172" max="6175" width="14.375" style="325" customWidth="1"/>
    <col min="6176" max="6176" width="12.875" style="325" customWidth="1"/>
    <col min="6177" max="6177" width="13.75" style="325" customWidth="1"/>
    <col min="6178" max="6178" width="0.75" style="325" customWidth="1"/>
    <col min="6179" max="6179" width="13.75" style="325" customWidth="1"/>
    <col min="6180" max="6183" width="14.375" style="325" customWidth="1"/>
    <col min="6184" max="6184" width="12.875" style="325" customWidth="1"/>
    <col min="6185" max="6185" width="13.75" style="325" customWidth="1"/>
    <col min="6186" max="6186" width="0.75" style="325" customWidth="1"/>
    <col min="6187" max="6187" width="13.75" style="325" customWidth="1"/>
    <col min="6188" max="6191" width="14.375" style="325" customWidth="1"/>
    <col min="6192" max="6192" width="12.875" style="325" customWidth="1"/>
    <col min="6193" max="6193" width="13.75" style="325" customWidth="1"/>
    <col min="6194" max="6194" width="0.75" style="325" customWidth="1"/>
    <col min="6195" max="6195" width="13.75" style="325" customWidth="1"/>
    <col min="6196" max="6199" width="14.375" style="325" customWidth="1"/>
    <col min="6200" max="6200" width="12.875" style="325" customWidth="1"/>
    <col min="6201" max="6201" width="13.75" style="325" customWidth="1"/>
    <col min="6202" max="6202" width="0.75" style="325" customWidth="1"/>
    <col min="6203" max="6203" width="13.75" style="325" customWidth="1"/>
    <col min="6204" max="6207" width="14.375" style="325" customWidth="1"/>
    <col min="6208" max="6208" width="12.875" style="325" customWidth="1"/>
    <col min="6209" max="6209" width="13.75" style="325" customWidth="1"/>
    <col min="6210" max="6210" width="0.75" style="325" customWidth="1"/>
    <col min="6211" max="6211" width="13.75" style="325" customWidth="1"/>
    <col min="6212" max="6215" width="14.375" style="325" customWidth="1"/>
    <col min="6216" max="6216" width="12.875" style="325" customWidth="1"/>
    <col min="6217" max="6217" width="13.75" style="325" customWidth="1"/>
    <col min="6218" max="6218" width="0.75" style="325" customWidth="1"/>
    <col min="6219" max="6219" width="13.75" style="325" customWidth="1"/>
    <col min="6220" max="6223" width="14.375" style="325" customWidth="1"/>
    <col min="6224" max="6224" width="12.875" style="325" customWidth="1"/>
    <col min="6225" max="6225" width="13.75" style="325" customWidth="1"/>
    <col min="6226" max="6226" width="0.75" style="325" customWidth="1"/>
    <col min="6227" max="6227" width="13.75" style="325" customWidth="1"/>
    <col min="6228" max="6231" width="14.375" style="325" customWidth="1"/>
    <col min="6232" max="6232" width="12.875" style="325" customWidth="1"/>
    <col min="6233" max="6233" width="13.75" style="325" customWidth="1"/>
    <col min="6234" max="6234" width="0.75" style="325" customWidth="1"/>
    <col min="6235" max="6235" width="13.75" style="325" customWidth="1"/>
    <col min="6236" max="6239" width="14.375" style="325" customWidth="1"/>
    <col min="6240" max="6240" width="12.875" style="325" customWidth="1"/>
    <col min="6241" max="6241" width="13.75" style="325" customWidth="1"/>
    <col min="6242" max="6242" width="0.75" style="325" customWidth="1"/>
    <col min="6243" max="6243" width="13.75" style="325" customWidth="1"/>
    <col min="6244" max="6247" width="14.375" style="325" customWidth="1"/>
    <col min="6248" max="6248" width="12.875" style="325" customWidth="1"/>
    <col min="6249" max="6249" width="13.75" style="325" customWidth="1"/>
    <col min="6250" max="6250" width="17.5" style="325" customWidth="1"/>
    <col min="6251"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3.75" style="325" customWidth="1"/>
    <col min="6410" max="6410" width="0.75" style="325" customWidth="1"/>
    <col min="6411" max="6411" width="13.75" style="325" customWidth="1"/>
    <col min="6412" max="6415" width="14.375" style="325" customWidth="1"/>
    <col min="6416" max="6416" width="12.875" style="325" customWidth="1"/>
    <col min="6417" max="6417" width="13.75" style="325" customWidth="1"/>
    <col min="6418" max="6418" width="0.75" style="325" customWidth="1"/>
    <col min="6419" max="6419" width="13.75" style="325" customWidth="1"/>
    <col min="6420" max="6423" width="14.375" style="325" customWidth="1"/>
    <col min="6424" max="6424" width="12.875" style="325" customWidth="1"/>
    <col min="6425" max="6425" width="13.75" style="325" customWidth="1"/>
    <col min="6426" max="6426" width="0.75" style="325" customWidth="1"/>
    <col min="6427" max="6427" width="13.75" style="325" customWidth="1"/>
    <col min="6428" max="6431" width="14.375" style="325" customWidth="1"/>
    <col min="6432" max="6432" width="12.875" style="325" customWidth="1"/>
    <col min="6433" max="6433" width="13.75" style="325" customWidth="1"/>
    <col min="6434" max="6434" width="0.75" style="325" customWidth="1"/>
    <col min="6435" max="6435" width="13.75" style="325" customWidth="1"/>
    <col min="6436" max="6439" width="14.375" style="325" customWidth="1"/>
    <col min="6440" max="6440" width="12.875" style="325" customWidth="1"/>
    <col min="6441" max="6441" width="13.75" style="325" customWidth="1"/>
    <col min="6442" max="6442" width="0.75" style="325" customWidth="1"/>
    <col min="6443" max="6443" width="13.75" style="325" customWidth="1"/>
    <col min="6444" max="6447" width="14.375" style="325" customWidth="1"/>
    <col min="6448" max="6448" width="12.875" style="325" customWidth="1"/>
    <col min="6449" max="6449" width="13.75" style="325" customWidth="1"/>
    <col min="6450" max="6450" width="0.75" style="325" customWidth="1"/>
    <col min="6451" max="6451" width="13.75" style="325" customWidth="1"/>
    <col min="6452" max="6455" width="14.375" style="325" customWidth="1"/>
    <col min="6456" max="6456" width="12.875" style="325" customWidth="1"/>
    <col min="6457" max="6457" width="13.75" style="325" customWidth="1"/>
    <col min="6458" max="6458" width="0.75" style="325" customWidth="1"/>
    <col min="6459" max="6459" width="13.75" style="325" customWidth="1"/>
    <col min="6460" max="6463" width="14.375" style="325" customWidth="1"/>
    <col min="6464" max="6464" width="12.875" style="325" customWidth="1"/>
    <col min="6465" max="6465" width="13.75" style="325" customWidth="1"/>
    <col min="6466" max="6466" width="0.75" style="325" customWidth="1"/>
    <col min="6467" max="6467" width="13.75" style="325" customWidth="1"/>
    <col min="6468" max="6471" width="14.375" style="325" customWidth="1"/>
    <col min="6472" max="6472" width="12.875" style="325" customWidth="1"/>
    <col min="6473" max="6473" width="13.75" style="325" customWidth="1"/>
    <col min="6474" max="6474" width="0.75" style="325" customWidth="1"/>
    <col min="6475" max="6475" width="13.75" style="325" customWidth="1"/>
    <col min="6476" max="6479" width="14.375" style="325" customWidth="1"/>
    <col min="6480" max="6480" width="12.875" style="325" customWidth="1"/>
    <col min="6481" max="6481" width="13.75" style="325" customWidth="1"/>
    <col min="6482" max="6482" width="0.75" style="325" customWidth="1"/>
    <col min="6483" max="6483" width="13.75" style="325" customWidth="1"/>
    <col min="6484" max="6487" width="14.375" style="325" customWidth="1"/>
    <col min="6488" max="6488" width="12.875" style="325" customWidth="1"/>
    <col min="6489" max="6489" width="13.75" style="325" customWidth="1"/>
    <col min="6490" max="6490" width="0.75" style="325" customWidth="1"/>
    <col min="6491" max="6491" width="13.75" style="325" customWidth="1"/>
    <col min="6492" max="6495" width="14.375" style="325" customWidth="1"/>
    <col min="6496" max="6496" width="12.875" style="325" customWidth="1"/>
    <col min="6497" max="6497" width="13.75" style="325" customWidth="1"/>
    <col min="6498" max="6498" width="0.75" style="325" customWidth="1"/>
    <col min="6499" max="6499" width="13.75" style="325" customWidth="1"/>
    <col min="6500" max="6503" width="14.375" style="325" customWidth="1"/>
    <col min="6504" max="6504" width="12.875" style="325" customWidth="1"/>
    <col min="6505" max="6505" width="13.75" style="325" customWidth="1"/>
    <col min="6506" max="6506" width="17.5" style="325" customWidth="1"/>
    <col min="6507"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3.75" style="325" customWidth="1"/>
    <col min="6666" max="6666" width="0.75" style="325" customWidth="1"/>
    <col min="6667" max="6667" width="13.75" style="325" customWidth="1"/>
    <col min="6668" max="6671" width="14.375" style="325" customWidth="1"/>
    <col min="6672" max="6672" width="12.875" style="325" customWidth="1"/>
    <col min="6673" max="6673" width="13.75" style="325" customWidth="1"/>
    <col min="6674" max="6674" width="0.75" style="325" customWidth="1"/>
    <col min="6675" max="6675" width="13.75" style="325" customWidth="1"/>
    <col min="6676" max="6679" width="14.375" style="325" customWidth="1"/>
    <col min="6680" max="6680" width="12.875" style="325" customWidth="1"/>
    <col min="6681" max="6681" width="13.75" style="325" customWidth="1"/>
    <col min="6682" max="6682" width="0.75" style="325" customWidth="1"/>
    <col min="6683" max="6683" width="13.75" style="325" customWidth="1"/>
    <col min="6684" max="6687" width="14.375" style="325" customWidth="1"/>
    <col min="6688" max="6688" width="12.875" style="325" customWidth="1"/>
    <col min="6689" max="6689" width="13.75" style="325" customWidth="1"/>
    <col min="6690" max="6690" width="0.75" style="325" customWidth="1"/>
    <col min="6691" max="6691" width="13.75" style="325" customWidth="1"/>
    <col min="6692" max="6695" width="14.375" style="325" customWidth="1"/>
    <col min="6696" max="6696" width="12.875" style="325" customWidth="1"/>
    <col min="6697" max="6697" width="13.75" style="325" customWidth="1"/>
    <col min="6698" max="6698" width="0.75" style="325" customWidth="1"/>
    <col min="6699" max="6699" width="13.75" style="325" customWidth="1"/>
    <col min="6700" max="6703" width="14.375" style="325" customWidth="1"/>
    <col min="6704" max="6704" width="12.875" style="325" customWidth="1"/>
    <col min="6705" max="6705" width="13.75" style="325" customWidth="1"/>
    <col min="6706" max="6706" width="0.75" style="325" customWidth="1"/>
    <col min="6707" max="6707" width="13.75" style="325" customWidth="1"/>
    <col min="6708" max="6711" width="14.375" style="325" customWidth="1"/>
    <col min="6712" max="6712" width="12.875" style="325" customWidth="1"/>
    <col min="6713" max="6713" width="13.75" style="325" customWidth="1"/>
    <col min="6714" max="6714" width="0.75" style="325" customWidth="1"/>
    <col min="6715" max="6715" width="13.75" style="325" customWidth="1"/>
    <col min="6716" max="6719" width="14.375" style="325" customWidth="1"/>
    <col min="6720" max="6720" width="12.875" style="325" customWidth="1"/>
    <col min="6721" max="6721" width="13.75" style="325" customWidth="1"/>
    <col min="6722" max="6722" width="0.75" style="325" customWidth="1"/>
    <col min="6723" max="6723" width="13.75" style="325" customWidth="1"/>
    <col min="6724" max="6727" width="14.375" style="325" customWidth="1"/>
    <col min="6728" max="6728" width="12.875" style="325" customWidth="1"/>
    <col min="6729" max="6729" width="13.75" style="325" customWidth="1"/>
    <col min="6730" max="6730" width="0.75" style="325" customWidth="1"/>
    <col min="6731" max="6731" width="13.75" style="325" customWidth="1"/>
    <col min="6732" max="6735" width="14.375" style="325" customWidth="1"/>
    <col min="6736" max="6736" width="12.875" style="325" customWidth="1"/>
    <col min="6737" max="6737" width="13.75" style="325" customWidth="1"/>
    <col min="6738" max="6738" width="0.75" style="325" customWidth="1"/>
    <col min="6739" max="6739" width="13.75" style="325" customWidth="1"/>
    <col min="6740" max="6743" width="14.375" style="325" customWidth="1"/>
    <col min="6744" max="6744" width="12.875" style="325" customWidth="1"/>
    <col min="6745" max="6745" width="13.75" style="325" customWidth="1"/>
    <col min="6746" max="6746" width="0.75" style="325" customWidth="1"/>
    <col min="6747" max="6747" width="13.75" style="325" customWidth="1"/>
    <col min="6748" max="6751" width="14.375" style="325" customWidth="1"/>
    <col min="6752" max="6752" width="12.875" style="325" customWidth="1"/>
    <col min="6753" max="6753" width="13.75" style="325" customWidth="1"/>
    <col min="6754" max="6754" width="0.75" style="325" customWidth="1"/>
    <col min="6755" max="6755" width="13.75" style="325" customWidth="1"/>
    <col min="6756" max="6759" width="14.375" style="325" customWidth="1"/>
    <col min="6760" max="6760" width="12.875" style="325" customWidth="1"/>
    <col min="6761" max="6761" width="13.75" style="325" customWidth="1"/>
    <col min="6762" max="6762" width="17.5" style="325" customWidth="1"/>
    <col min="6763"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3.75" style="325" customWidth="1"/>
    <col min="6922" max="6922" width="0.75" style="325" customWidth="1"/>
    <col min="6923" max="6923" width="13.75" style="325" customWidth="1"/>
    <col min="6924" max="6927" width="14.375" style="325" customWidth="1"/>
    <col min="6928" max="6928" width="12.875" style="325" customWidth="1"/>
    <col min="6929" max="6929" width="13.75" style="325" customWidth="1"/>
    <col min="6930" max="6930" width="0.75" style="325" customWidth="1"/>
    <col min="6931" max="6931" width="13.75" style="325" customWidth="1"/>
    <col min="6932" max="6935" width="14.375" style="325" customWidth="1"/>
    <col min="6936" max="6936" width="12.875" style="325" customWidth="1"/>
    <col min="6937" max="6937" width="13.75" style="325" customWidth="1"/>
    <col min="6938" max="6938" width="0.75" style="325" customWidth="1"/>
    <col min="6939" max="6939" width="13.75" style="325" customWidth="1"/>
    <col min="6940" max="6943" width="14.375" style="325" customWidth="1"/>
    <col min="6944" max="6944" width="12.875" style="325" customWidth="1"/>
    <col min="6945" max="6945" width="13.75" style="325" customWidth="1"/>
    <col min="6946" max="6946" width="0.75" style="325" customWidth="1"/>
    <col min="6947" max="6947" width="13.75" style="325" customWidth="1"/>
    <col min="6948" max="6951" width="14.375" style="325" customWidth="1"/>
    <col min="6952" max="6952" width="12.875" style="325" customWidth="1"/>
    <col min="6953" max="6953" width="13.75" style="325" customWidth="1"/>
    <col min="6954" max="6954" width="0.75" style="325" customWidth="1"/>
    <col min="6955" max="6955" width="13.75" style="325" customWidth="1"/>
    <col min="6956" max="6959" width="14.375" style="325" customWidth="1"/>
    <col min="6960" max="6960" width="12.875" style="325" customWidth="1"/>
    <col min="6961" max="6961" width="13.75" style="325" customWidth="1"/>
    <col min="6962" max="6962" width="0.75" style="325" customWidth="1"/>
    <col min="6963" max="6963" width="13.75" style="325" customWidth="1"/>
    <col min="6964" max="6967" width="14.375" style="325" customWidth="1"/>
    <col min="6968" max="6968" width="12.875" style="325" customWidth="1"/>
    <col min="6969" max="6969" width="13.75" style="325" customWidth="1"/>
    <col min="6970" max="6970" width="0.75" style="325" customWidth="1"/>
    <col min="6971" max="6971" width="13.75" style="325" customWidth="1"/>
    <col min="6972" max="6975" width="14.375" style="325" customWidth="1"/>
    <col min="6976" max="6976" width="12.875" style="325" customWidth="1"/>
    <col min="6977" max="6977" width="13.75" style="325" customWidth="1"/>
    <col min="6978" max="6978" width="0.75" style="325" customWidth="1"/>
    <col min="6979" max="6979" width="13.75" style="325" customWidth="1"/>
    <col min="6980" max="6983" width="14.375" style="325" customWidth="1"/>
    <col min="6984" max="6984" width="12.875" style="325" customWidth="1"/>
    <col min="6985" max="6985" width="13.75" style="325" customWidth="1"/>
    <col min="6986" max="6986" width="0.75" style="325" customWidth="1"/>
    <col min="6987" max="6987" width="13.75" style="325" customWidth="1"/>
    <col min="6988" max="6991" width="14.375" style="325" customWidth="1"/>
    <col min="6992" max="6992" width="12.875" style="325" customWidth="1"/>
    <col min="6993" max="6993" width="13.75" style="325" customWidth="1"/>
    <col min="6994" max="6994" width="0.75" style="325" customWidth="1"/>
    <col min="6995" max="6995" width="13.75" style="325" customWidth="1"/>
    <col min="6996" max="6999" width="14.375" style="325" customWidth="1"/>
    <col min="7000" max="7000" width="12.875" style="325" customWidth="1"/>
    <col min="7001" max="7001" width="13.75" style="325" customWidth="1"/>
    <col min="7002" max="7002" width="0.75" style="325" customWidth="1"/>
    <col min="7003" max="7003" width="13.75" style="325" customWidth="1"/>
    <col min="7004" max="7007" width="14.375" style="325" customWidth="1"/>
    <col min="7008" max="7008" width="12.875" style="325" customWidth="1"/>
    <col min="7009" max="7009" width="13.75" style="325" customWidth="1"/>
    <col min="7010" max="7010" width="0.75" style="325" customWidth="1"/>
    <col min="7011" max="7011" width="13.75" style="325" customWidth="1"/>
    <col min="7012" max="7015" width="14.375" style="325" customWidth="1"/>
    <col min="7016" max="7016" width="12.875" style="325" customWidth="1"/>
    <col min="7017" max="7017" width="13.75" style="325" customWidth="1"/>
    <col min="7018" max="7018" width="17.5" style="325" customWidth="1"/>
    <col min="7019"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3.75" style="325" customWidth="1"/>
    <col min="7178" max="7178" width="0.75" style="325" customWidth="1"/>
    <col min="7179" max="7179" width="13.75" style="325" customWidth="1"/>
    <col min="7180" max="7183" width="14.375" style="325" customWidth="1"/>
    <col min="7184" max="7184" width="12.875" style="325" customWidth="1"/>
    <col min="7185" max="7185" width="13.75" style="325" customWidth="1"/>
    <col min="7186" max="7186" width="0.75" style="325" customWidth="1"/>
    <col min="7187" max="7187" width="13.75" style="325" customWidth="1"/>
    <col min="7188" max="7191" width="14.375" style="325" customWidth="1"/>
    <col min="7192" max="7192" width="12.875" style="325" customWidth="1"/>
    <col min="7193" max="7193" width="13.75" style="325" customWidth="1"/>
    <col min="7194" max="7194" width="0.75" style="325" customWidth="1"/>
    <col min="7195" max="7195" width="13.75" style="325" customWidth="1"/>
    <col min="7196" max="7199" width="14.375" style="325" customWidth="1"/>
    <col min="7200" max="7200" width="12.875" style="325" customWidth="1"/>
    <col min="7201" max="7201" width="13.75" style="325" customWidth="1"/>
    <col min="7202" max="7202" width="0.75" style="325" customWidth="1"/>
    <col min="7203" max="7203" width="13.75" style="325" customWidth="1"/>
    <col min="7204" max="7207" width="14.375" style="325" customWidth="1"/>
    <col min="7208" max="7208" width="12.875" style="325" customWidth="1"/>
    <col min="7209" max="7209" width="13.75" style="325" customWidth="1"/>
    <col min="7210" max="7210" width="0.75" style="325" customWidth="1"/>
    <col min="7211" max="7211" width="13.75" style="325" customWidth="1"/>
    <col min="7212" max="7215" width="14.375" style="325" customWidth="1"/>
    <col min="7216" max="7216" width="12.875" style="325" customWidth="1"/>
    <col min="7217" max="7217" width="13.75" style="325" customWidth="1"/>
    <col min="7218" max="7218" width="0.75" style="325" customWidth="1"/>
    <col min="7219" max="7219" width="13.75" style="325" customWidth="1"/>
    <col min="7220" max="7223" width="14.375" style="325" customWidth="1"/>
    <col min="7224" max="7224" width="12.875" style="325" customWidth="1"/>
    <col min="7225" max="7225" width="13.75" style="325" customWidth="1"/>
    <col min="7226" max="7226" width="0.75" style="325" customWidth="1"/>
    <col min="7227" max="7227" width="13.75" style="325" customWidth="1"/>
    <col min="7228" max="7231" width="14.375" style="325" customWidth="1"/>
    <col min="7232" max="7232" width="12.875" style="325" customWidth="1"/>
    <col min="7233" max="7233" width="13.75" style="325" customWidth="1"/>
    <col min="7234" max="7234" width="0.75" style="325" customWidth="1"/>
    <col min="7235" max="7235" width="13.75" style="325" customWidth="1"/>
    <col min="7236" max="7239" width="14.375" style="325" customWidth="1"/>
    <col min="7240" max="7240" width="12.875" style="325" customWidth="1"/>
    <col min="7241" max="7241" width="13.75" style="325" customWidth="1"/>
    <col min="7242" max="7242" width="0.75" style="325" customWidth="1"/>
    <col min="7243" max="7243" width="13.75" style="325" customWidth="1"/>
    <col min="7244" max="7247" width="14.375" style="325" customWidth="1"/>
    <col min="7248" max="7248" width="12.875" style="325" customWidth="1"/>
    <col min="7249" max="7249" width="13.75" style="325" customWidth="1"/>
    <col min="7250" max="7250" width="0.75" style="325" customWidth="1"/>
    <col min="7251" max="7251" width="13.75" style="325" customWidth="1"/>
    <col min="7252" max="7255" width="14.375" style="325" customWidth="1"/>
    <col min="7256" max="7256" width="12.875" style="325" customWidth="1"/>
    <col min="7257" max="7257" width="13.75" style="325" customWidth="1"/>
    <col min="7258" max="7258" width="0.75" style="325" customWidth="1"/>
    <col min="7259" max="7259" width="13.75" style="325" customWidth="1"/>
    <col min="7260" max="7263" width="14.375" style="325" customWidth="1"/>
    <col min="7264" max="7264" width="12.875" style="325" customWidth="1"/>
    <col min="7265" max="7265" width="13.75" style="325" customWidth="1"/>
    <col min="7266" max="7266" width="0.75" style="325" customWidth="1"/>
    <col min="7267" max="7267" width="13.75" style="325" customWidth="1"/>
    <col min="7268" max="7271" width="14.375" style="325" customWidth="1"/>
    <col min="7272" max="7272" width="12.875" style="325" customWidth="1"/>
    <col min="7273" max="7273" width="13.75" style="325" customWidth="1"/>
    <col min="7274" max="7274" width="17.5" style="325" customWidth="1"/>
    <col min="7275"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3.75" style="325" customWidth="1"/>
    <col min="7434" max="7434" width="0.75" style="325" customWidth="1"/>
    <col min="7435" max="7435" width="13.75" style="325" customWidth="1"/>
    <col min="7436" max="7439" width="14.375" style="325" customWidth="1"/>
    <col min="7440" max="7440" width="12.875" style="325" customWidth="1"/>
    <col min="7441" max="7441" width="13.75" style="325" customWidth="1"/>
    <col min="7442" max="7442" width="0.75" style="325" customWidth="1"/>
    <col min="7443" max="7443" width="13.75" style="325" customWidth="1"/>
    <col min="7444" max="7447" width="14.375" style="325" customWidth="1"/>
    <col min="7448" max="7448" width="12.875" style="325" customWidth="1"/>
    <col min="7449" max="7449" width="13.75" style="325" customWidth="1"/>
    <col min="7450" max="7450" width="0.75" style="325" customWidth="1"/>
    <col min="7451" max="7451" width="13.75" style="325" customWidth="1"/>
    <col min="7452" max="7455" width="14.375" style="325" customWidth="1"/>
    <col min="7456" max="7456" width="12.875" style="325" customWidth="1"/>
    <col min="7457" max="7457" width="13.75" style="325" customWidth="1"/>
    <col min="7458" max="7458" width="0.75" style="325" customWidth="1"/>
    <col min="7459" max="7459" width="13.75" style="325" customWidth="1"/>
    <col min="7460" max="7463" width="14.375" style="325" customWidth="1"/>
    <col min="7464" max="7464" width="12.875" style="325" customWidth="1"/>
    <col min="7465" max="7465" width="13.75" style="325" customWidth="1"/>
    <col min="7466" max="7466" width="0.75" style="325" customWidth="1"/>
    <col min="7467" max="7467" width="13.75" style="325" customWidth="1"/>
    <col min="7468" max="7471" width="14.375" style="325" customWidth="1"/>
    <col min="7472" max="7472" width="12.875" style="325" customWidth="1"/>
    <col min="7473" max="7473" width="13.75" style="325" customWidth="1"/>
    <col min="7474" max="7474" width="0.75" style="325" customWidth="1"/>
    <col min="7475" max="7475" width="13.75" style="325" customWidth="1"/>
    <col min="7476" max="7479" width="14.375" style="325" customWidth="1"/>
    <col min="7480" max="7480" width="12.875" style="325" customWidth="1"/>
    <col min="7481" max="7481" width="13.75" style="325" customWidth="1"/>
    <col min="7482" max="7482" width="0.75" style="325" customWidth="1"/>
    <col min="7483" max="7483" width="13.75" style="325" customWidth="1"/>
    <col min="7484" max="7487" width="14.375" style="325" customWidth="1"/>
    <col min="7488" max="7488" width="12.875" style="325" customWidth="1"/>
    <col min="7489" max="7489" width="13.75" style="325" customWidth="1"/>
    <col min="7490" max="7490" width="0.75" style="325" customWidth="1"/>
    <col min="7491" max="7491" width="13.75" style="325" customWidth="1"/>
    <col min="7492" max="7495" width="14.375" style="325" customWidth="1"/>
    <col min="7496" max="7496" width="12.875" style="325" customWidth="1"/>
    <col min="7497" max="7497" width="13.75" style="325" customWidth="1"/>
    <col min="7498" max="7498" width="0.75" style="325" customWidth="1"/>
    <col min="7499" max="7499" width="13.75" style="325" customWidth="1"/>
    <col min="7500" max="7503" width="14.375" style="325" customWidth="1"/>
    <col min="7504" max="7504" width="12.875" style="325" customWidth="1"/>
    <col min="7505" max="7505" width="13.75" style="325" customWidth="1"/>
    <col min="7506" max="7506" width="0.75" style="325" customWidth="1"/>
    <col min="7507" max="7507" width="13.75" style="325" customWidth="1"/>
    <col min="7508" max="7511" width="14.375" style="325" customWidth="1"/>
    <col min="7512" max="7512" width="12.875" style="325" customWidth="1"/>
    <col min="7513" max="7513" width="13.75" style="325" customWidth="1"/>
    <col min="7514" max="7514" width="0.75" style="325" customWidth="1"/>
    <col min="7515" max="7515" width="13.75" style="325" customWidth="1"/>
    <col min="7516" max="7519" width="14.375" style="325" customWidth="1"/>
    <col min="7520" max="7520" width="12.875" style="325" customWidth="1"/>
    <col min="7521" max="7521" width="13.75" style="325" customWidth="1"/>
    <col min="7522" max="7522" width="0.75" style="325" customWidth="1"/>
    <col min="7523" max="7523" width="13.75" style="325" customWidth="1"/>
    <col min="7524" max="7527" width="14.375" style="325" customWidth="1"/>
    <col min="7528" max="7528" width="12.875" style="325" customWidth="1"/>
    <col min="7529" max="7529" width="13.75" style="325" customWidth="1"/>
    <col min="7530" max="7530" width="17.5" style="325" customWidth="1"/>
    <col min="7531"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3.75" style="325" customWidth="1"/>
    <col min="7690" max="7690" width="0.75" style="325" customWidth="1"/>
    <col min="7691" max="7691" width="13.75" style="325" customWidth="1"/>
    <col min="7692" max="7695" width="14.375" style="325" customWidth="1"/>
    <col min="7696" max="7696" width="12.875" style="325" customWidth="1"/>
    <col min="7697" max="7697" width="13.75" style="325" customWidth="1"/>
    <col min="7698" max="7698" width="0.75" style="325" customWidth="1"/>
    <col min="7699" max="7699" width="13.75" style="325" customWidth="1"/>
    <col min="7700" max="7703" width="14.375" style="325" customWidth="1"/>
    <col min="7704" max="7704" width="12.875" style="325" customWidth="1"/>
    <col min="7705" max="7705" width="13.75" style="325" customWidth="1"/>
    <col min="7706" max="7706" width="0.75" style="325" customWidth="1"/>
    <col min="7707" max="7707" width="13.75" style="325" customWidth="1"/>
    <col min="7708" max="7711" width="14.375" style="325" customWidth="1"/>
    <col min="7712" max="7712" width="12.875" style="325" customWidth="1"/>
    <col min="7713" max="7713" width="13.75" style="325" customWidth="1"/>
    <col min="7714" max="7714" width="0.75" style="325" customWidth="1"/>
    <col min="7715" max="7715" width="13.75" style="325" customWidth="1"/>
    <col min="7716" max="7719" width="14.375" style="325" customWidth="1"/>
    <col min="7720" max="7720" width="12.875" style="325" customWidth="1"/>
    <col min="7721" max="7721" width="13.75" style="325" customWidth="1"/>
    <col min="7722" max="7722" width="0.75" style="325" customWidth="1"/>
    <col min="7723" max="7723" width="13.75" style="325" customWidth="1"/>
    <col min="7724" max="7727" width="14.375" style="325" customWidth="1"/>
    <col min="7728" max="7728" width="12.875" style="325" customWidth="1"/>
    <col min="7729" max="7729" width="13.75" style="325" customWidth="1"/>
    <col min="7730" max="7730" width="0.75" style="325" customWidth="1"/>
    <col min="7731" max="7731" width="13.75" style="325" customWidth="1"/>
    <col min="7732" max="7735" width="14.375" style="325" customWidth="1"/>
    <col min="7736" max="7736" width="12.875" style="325" customWidth="1"/>
    <col min="7737" max="7737" width="13.75" style="325" customWidth="1"/>
    <col min="7738" max="7738" width="0.75" style="325" customWidth="1"/>
    <col min="7739" max="7739" width="13.75" style="325" customWidth="1"/>
    <col min="7740" max="7743" width="14.375" style="325" customWidth="1"/>
    <col min="7744" max="7744" width="12.875" style="325" customWidth="1"/>
    <col min="7745" max="7745" width="13.75" style="325" customWidth="1"/>
    <col min="7746" max="7746" width="0.75" style="325" customWidth="1"/>
    <col min="7747" max="7747" width="13.75" style="325" customWidth="1"/>
    <col min="7748" max="7751" width="14.375" style="325" customWidth="1"/>
    <col min="7752" max="7752" width="12.875" style="325" customWidth="1"/>
    <col min="7753" max="7753" width="13.75" style="325" customWidth="1"/>
    <col min="7754" max="7754" width="0.75" style="325" customWidth="1"/>
    <col min="7755" max="7755" width="13.75" style="325" customWidth="1"/>
    <col min="7756" max="7759" width="14.375" style="325" customWidth="1"/>
    <col min="7760" max="7760" width="12.875" style="325" customWidth="1"/>
    <col min="7761" max="7761" width="13.75" style="325" customWidth="1"/>
    <col min="7762" max="7762" width="0.75" style="325" customWidth="1"/>
    <col min="7763" max="7763" width="13.75" style="325" customWidth="1"/>
    <col min="7764" max="7767" width="14.375" style="325" customWidth="1"/>
    <col min="7768" max="7768" width="12.875" style="325" customWidth="1"/>
    <col min="7769" max="7769" width="13.75" style="325" customWidth="1"/>
    <col min="7770" max="7770" width="0.75" style="325" customWidth="1"/>
    <col min="7771" max="7771" width="13.75" style="325" customWidth="1"/>
    <col min="7772" max="7775" width="14.375" style="325" customWidth="1"/>
    <col min="7776" max="7776" width="12.875" style="325" customWidth="1"/>
    <col min="7777" max="7777" width="13.75" style="325" customWidth="1"/>
    <col min="7778" max="7778" width="0.75" style="325" customWidth="1"/>
    <col min="7779" max="7779" width="13.75" style="325" customWidth="1"/>
    <col min="7780" max="7783" width="14.375" style="325" customWidth="1"/>
    <col min="7784" max="7784" width="12.875" style="325" customWidth="1"/>
    <col min="7785" max="7785" width="13.75" style="325" customWidth="1"/>
    <col min="7786" max="7786" width="17.5" style="325" customWidth="1"/>
    <col min="7787"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3.75" style="325" customWidth="1"/>
    <col min="7946" max="7946" width="0.75" style="325" customWidth="1"/>
    <col min="7947" max="7947" width="13.75" style="325" customWidth="1"/>
    <col min="7948" max="7951" width="14.375" style="325" customWidth="1"/>
    <col min="7952" max="7952" width="12.875" style="325" customWidth="1"/>
    <col min="7953" max="7953" width="13.75" style="325" customWidth="1"/>
    <col min="7954" max="7954" width="0.75" style="325" customWidth="1"/>
    <col min="7955" max="7955" width="13.75" style="325" customWidth="1"/>
    <col min="7956" max="7959" width="14.375" style="325" customWidth="1"/>
    <col min="7960" max="7960" width="12.875" style="325" customWidth="1"/>
    <col min="7961" max="7961" width="13.75" style="325" customWidth="1"/>
    <col min="7962" max="7962" width="0.75" style="325" customWidth="1"/>
    <col min="7963" max="7963" width="13.75" style="325" customWidth="1"/>
    <col min="7964" max="7967" width="14.375" style="325" customWidth="1"/>
    <col min="7968" max="7968" width="12.875" style="325" customWidth="1"/>
    <col min="7969" max="7969" width="13.75" style="325" customWidth="1"/>
    <col min="7970" max="7970" width="0.75" style="325" customWidth="1"/>
    <col min="7971" max="7971" width="13.75" style="325" customWidth="1"/>
    <col min="7972" max="7975" width="14.375" style="325" customWidth="1"/>
    <col min="7976" max="7976" width="12.875" style="325" customWidth="1"/>
    <col min="7977" max="7977" width="13.75" style="325" customWidth="1"/>
    <col min="7978" max="7978" width="0.75" style="325" customWidth="1"/>
    <col min="7979" max="7979" width="13.75" style="325" customWidth="1"/>
    <col min="7980" max="7983" width="14.375" style="325" customWidth="1"/>
    <col min="7984" max="7984" width="12.875" style="325" customWidth="1"/>
    <col min="7985" max="7985" width="13.75" style="325" customWidth="1"/>
    <col min="7986" max="7986" width="0.75" style="325" customWidth="1"/>
    <col min="7987" max="7987" width="13.75" style="325" customWidth="1"/>
    <col min="7988" max="7991" width="14.375" style="325" customWidth="1"/>
    <col min="7992" max="7992" width="12.875" style="325" customWidth="1"/>
    <col min="7993" max="7993" width="13.75" style="325" customWidth="1"/>
    <col min="7994" max="7994" width="0.75" style="325" customWidth="1"/>
    <col min="7995" max="7995" width="13.75" style="325" customWidth="1"/>
    <col min="7996" max="7999" width="14.375" style="325" customWidth="1"/>
    <col min="8000" max="8000" width="12.875" style="325" customWidth="1"/>
    <col min="8001" max="8001" width="13.75" style="325" customWidth="1"/>
    <col min="8002" max="8002" width="0.75" style="325" customWidth="1"/>
    <col min="8003" max="8003" width="13.75" style="325" customWidth="1"/>
    <col min="8004" max="8007" width="14.375" style="325" customWidth="1"/>
    <col min="8008" max="8008" width="12.875" style="325" customWidth="1"/>
    <col min="8009" max="8009" width="13.75" style="325" customWidth="1"/>
    <col min="8010" max="8010" width="0.75" style="325" customWidth="1"/>
    <col min="8011" max="8011" width="13.75" style="325" customWidth="1"/>
    <col min="8012" max="8015" width="14.375" style="325" customWidth="1"/>
    <col min="8016" max="8016" width="12.875" style="325" customWidth="1"/>
    <col min="8017" max="8017" width="13.75" style="325" customWidth="1"/>
    <col min="8018" max="8018" width="0.75" style="325" customWidth="1"/>
    <col min="8019" max="8019" width="13.75" style="325" customWidth="1"/>
    <col min="8020" max="8023" width="14.375" style="325" customWidth="1"/>
    <col min="8024" max="8024" width="12.875" style="325" customWidth="1"/>
    <col min="8025" max="8025" width="13.75" style="325" customWidth="1"/>
    <col min="8026" max="8026" width="0.75" style="325" customWidth="1"/>
    <col min="8027" max="8027" width="13.75" style="325" customWidth="1"/>
    <col min="8028" max="8031" width="14.375" style="325" customWidth="1"/>
    <col min="8032" max="8032" width="12.875" style="325" customWidth="1"/>
    <col min="8033" max="8033" width="13.75" style="325" customWidth="1"/>
    <col min="8034" max="8034" width="0.75" style="325" customWidth="1"/>
    <col min="8035" max="8035" width="13.75" style="325" customWidth="1"/>
    <col min="8036" max="8039" width="14.375" style="325" customWidth="1"/>
    <col min="8040" max="8040" width="12.875" style="325" customWidth="1"/>
    <col min="8041" max="8041" width="13.75" style="325" customWidth="1"/>
    <col min="8042" max="8042" width="17.5" style="325" customWidth="1"/>
    <col min="8043"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3.75" style="325" customWidth="1"/>
    <col min="8202" max="8202" width="0.75" style="325" customWidth="1"/>
    <col min="8203" max="8203" width="13.75" style="325" customWidth="1"/>
    <col min="8204" max="8207" width="14.375" style="325" customWidth="1"/>
    <col min="8208" max="8208" width="12.875" style="325" customWidth="1"/>
    <col min="8209" max="8209" width="13.75" style="325" customWidth="1"/>
    <col min="8210" max="8210" width="0.75" style="325" customWidth="1"/>
    <col min="8211" max="8211" width="13.75" style="325" customWidth="1"/>
    <col min="8212" max="8215" width="14.375" style="325" customWidth="1"/>
    <col min="8216" max="8216" width="12.875" style="325" customWidth="1"/>
    <col min="8217" max="8217" width="13.75" style="325" customWidth="1"/>
    <col min="8218" max="8218" width="0.75" style="325" customWidth="1"/>
    <col min="8219" max="8219" width="13.75" style="325" customWidth="1"/>
    <col min="8220" max="8223" width="14.375" style="325" customWidth="1"/>
    <col min="8224" max="8224" width="12.875" style="325" customWidth="1"/>
    <col min="8225" max="8225" width="13.75" style="325" customWidth="1"/>
    <col min="8226" max="8226" width="0.75" style="325" customWidth="1"/>
    <col min="8227" max="8227" width="13.75" style="325" customWidth="1"/>
    <col min="8228" max="8231" width="14.375" style="325" customWidth="1"/>
    <col min="8232" max="8232" width="12.875" style="325" customWidth="1"/>
    <col min="8233" max="8233" width="13.75" style="325" customWidth="1"/>
    <col min="8234" max="8234" width="0.75" style="325" customWidth="1"/>
    <col min="8235" max="8235" width="13.75" style="325" customWidth="1"/>
    <col min="8236" max="8239" width="14.375" style="325" customWidth="1"/>
    <col min="8240" max="8240" width="12.875" style="325" customWidth="1"/>
    <col min="8241" max="8241" width="13.75" style="325" customWidth="1"/>
    <col min="8242" max="8242" width="0.75" style="325" customWidth="1"/>
    <col min="8243" max="8243" width="13.75" style="325" customWidth="1"/>
    <col min="8244" max="8247" width="14.375" style="325" customWidth="1"/>
    <col min="8248" max="8248" width="12.875" style="325" customWidth="1"/>
    <col min="8249" max="8249" width="13.75" style="325" customWidth="1"/>
    <col min="8250" max="8250" width="0.75" style="325" customWidth="1"/>
    <col min="8251" max="8251" width="13.75" style="325" customWidth="1"/>
    <col min="8252" max="8255" width="14.375" style="325" customWidth="1"/>
    <col min="8256" max="8256" width="12.875" style="325" customWidth="1"/>
    <col min="8257" max="8257" width="13.75" style="325" customWidth="1"/>
    <col min="8258" max="8258" width="0.75" style="325" customWidth="1"/>
    <col min="8259" max="8259" width="13.75" style="325" customWidth="1"/>
    <col min="8260" max="8263" width="14.375" style="325" customWidth="1"/>
    <col min="8264" max="8264" width="12.875" style="325" customWidth="1"/>
    <col min="8265" max="8265" width="13.75" style="325" customWidth="1"/>
    <col min="8266" max="8266" width="0.75" style="325" customWidth="1"/>
    <col min="8267" max="8267" width="13.75" style="325" customWidth="1"/>
    <col min="8268" max="8271" width="14.375" style="325" customWidth="1"/>
    <col min="8272" max="8272" width="12.875" style="325" customWidth="1"/>
    <col min="8273" max="8273" width="13.75" style="325" customWidth="1"/>
    <col min="8274" max="8274" width="0.75" style="325" customWidth="1"/>
    <col min="8275" max="8275" width="13.75" style="325" customWidth="1"/>
    <col min="8276" max="8279" width="14.375" style="325" customWidth="1"/>
    <col min="8280" max="8280" width="12.875" style="325" customWidth="1"/>
    <col min="8281" max="8281" width="13.75" style="325" customWidth="1"/>
    <col min="8282" max="8282" width="0.75" style="325" customWidth="1"/>
    <col min="8283" max="8283" width="13.75" style="325" customWidth="1"/>
    <col min="8284" max="8287" width="14.375" style="325" customWidth="1"/>
    <col min="8288" max="8288" width="12.875" style="325" customWidth="1"/>
    <col min="8289" max="8289" width="13.75" style="325" customWidth="1"/>
    <col min="8290" max="8290" width="0.75" style="325" customWidth="1"/>
    <col min="8291" max="8291" width="13.75" style="325" customWidth="1"/>
    <col min="8292" max="8295" width="14.375" style="325" customWidth="1"/>
    <col min="8296" max="8296" width="12.875" style="325" customWidth="1"/>
    <col min="8297" max="8297" width="13.75" style="325" customWidth="1"/>
    <col min="8298" max="8298" width="17.5" style="325" customWidth="1"/>
    <col min="8299"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3.75" style="325" customWidth="1"/>
    <col min="8458" max="8458" width="0.75" style="325" customWidth="1"/>
    <col min="8459" max="8459" width="13.75" style="325" customWidth="1"/>
    <col min="8460" max="8463" width="14.375" style="325" customWidth="1"/>
    <col min="8464" max="8464" width="12.875" style="325" customWidth="1"/>
    <col min="8465" max="8465" width="13.75" style="325" customWidth="1"/>
    <col min="8466" max="8466" width="0.75" style="325" customWidth="1"/>
    <col min="8467" max="8467" width="13.75" style="325" customWidth="1"/>
    <col min="8468" max="8471" width="14.375" style="325" customWidth="1"/>
    <col min="8472" max="8472" width="12.875" style="325" customWidth="1"/>
    <col min="8473" max="8473" width="13.75" style="325" customWidth="1"/>
    <col min="8474" max="8474" width="0.75" style="325" customWidth="1"/>
    <col min="8475" max="8475" width="13.75" style="325" customWidth="1"/>
    <col min="8476" max="8479" width="14.375" style="325" customWidth="1"/>
    <col min="8480" max="8480" width="12.875" style="325" customWidth="1"/>
    <col min="8481" max="8481" width="13.75" style="325" customWidth="1"/>
    <col min="8482" max="8482" width="0.75" style="325" customWidth="1"/>
    <col min="8483" max="8483" width="13.75" style="325" customWidth="1"/>
    <col min="8484" max="8487" width="14.375" style="325" customWidth="1"/>
    <col min="8488" max="8488" width="12.875" style="325" customWidth="1"/>
    <col min="8489" max="8489" width="13.75" style="325" customWidth="1"/>
    <col min="8490" max="8490" width="0.75" style="325" customWidth="1"/>
    <col min="8491" max="8491" width="13.75" style="325" customWidth="1"/>
    <col min="8492" max="8495" width="14.375" style="325" customWidth="1"/>
    <col min="8496" max="8496" width="12.875" style="325" customWidth="1"/>
    <col min="8497" max="8497" width="13.75" style="325" customWidth="1"/>
    <col min="8498" max="8498" width="0.75" style="325" customWidth="1"/>
    <col min="8499" max="8499" width="13.75" style="325" customWidth="1"/>
    <col min="8500" max="8503" width="14.375" style="325" customWidth="1"/>
    <col min="8504" max="8504" width="12.875" style="325" customWidth="1"/>
    <col min="8505" max="8505" width="13.75" style="325" customWidth="1"/>
    <col min="8506" max="8506" width="0.75" style="325" customWidth="1"/>
    <col min="8507" max="8507" width="13.75" style="325" customWidth="1"/>
    <col min="8508" max="8511" width="14.375" style="325" customWidth="1"/>
    <col min="8512" max="8512" width="12.875" style="325" customWidth="1"/>
    <col min="8513" max="8513" width="13.75" style="325" customWidth="1"/>
    <col min="8514" max="8514" width="0.75" style="325" customWidth="1"/>
    <col min="8515" max="8515" width="13.75" style="325" customWidth="1"/>
    <col min="8516" max="8519" width="14.375" style="325" customWidth="1"/>
    <col min="8520" max="8520" width="12.875" style="325" customWidth="1"/>
    <col min="8521" max="8521" width="13.75" style="325" customWidth="1"/>
    <col min="8522" max="8522" width="0.75" style="325" customWidth="1"/>
    <col min="8523" max="8523" width="13.75" style="325" customWidth="1"/>
    <col min="8524" max="8527" width="14.375" style="325" customWidth="1"/>
    <col min="8528" max="8528" width="12.875" style="325" customWidth="1"/>
    <col min="8529" max="8529" width="13.75" style="325" customWidth="1"/>
    <col min="8530" max="8530" width="0.75" style="325" customWidth="1"/>
    <col min="8531" max="8531" width="13.75" style="325" customWidth="1"/>
    <col min="8532" max="8535" width="14.375" style="325" customWidth="1"/>
    <col min="8536" max="8536" width="12.875" style="325" customWidth="1"/>
    <col min="8537" max="8537" width="13.75" style="325" customWidth="1"/>
    <col min="8538" max="8538" width="0.75" style="325" customWidth="1"/>
    <col min="8539" max="8539" width="13.75" style="325" customWidth="1"/>
    <col min="8540" max="8543" width="14.375" style="325" customWidth="1"/>
    <col min="8544" max="8544" width="12.875" style="325" customWidth="1"/>
    <col min="8545" max="8545" width="13.75" style="325" customWidth="1"/>
    <col min="8546" max="8546" width="0.75" style="325" customWidth="1"/>
    <col min="8547" max="8547" width="13.75" style="325" customWidth="1"/>
    <col min="8548" max="8551" width="14.375" style="325" customWidth="1"/>
    <col min="8552" max="8552" width="12.875" style="325" customWidth="1"/>
    <col min="8553" max="8553" width="13.75" style="325" customWidth="1"/>
    <col min="8554" max="8554" width="17.5" style="325" customWidth="1"/>
    <col min="8555"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3.75" style="325" customWidth="1"/>
    <col min="8714" max="8714" width="0.75" style="325" customWidth="1"/>
    <col min="8715" max="8715" width="13.75" style="325" customWidth="1"/>
    <col min="8716" max="8719" width="14.375" style="325" customWidth="1"/>
    <col min="8720" max="8720" width="12.875" style="325" customWidth="1"/>
    <col min="8721" max="8721" width="13.75" style="325" customWidth="1"/>
    <col min="8722" max="8722" width="0.75" style="325" customWidth="1"/>
    <col min="8723" max="8723" width="13.75" style="325" customWidth="1"/>
    <col min="8724" max="8727" width="14.375" style="325" customWidth="1"/>
    <col min="8728" max="8728" width="12.875" style="325" customWidth="1"/>
    <col min="8729" max="8729" width="13.75" style="325" customWidth="1"/>
    <col min="8730" max="8730" width="0.75" style="325" customWidth="1"/>
    <col min="8731" max="8731" width="13.75" style="325" customWidth="1"/>
    <col min="8732" max="8735" width="14.375" style="325" customWidth="1"/>
    <col min="8736" max="8736" width="12.875" style="325" customWidth="1"/>
    <col min="8737" max="8737" width="13.75" style="325" customWidth="1"/>
    <col min="8738" max="8738" width="0.75" style="325" customWidth="1"/>
    <col min="8739" max="8739" width="13.75" style="325" customWidth="1"/>
    <col min="8740" max="8743" width="14.375" style="325" customWidth="1"/>
    <col min="8744" max="8744" width="12.875" style="325" customWidth="1"/>
    <col min="8745" max="8745" width="13.75" style="325" customWidth="1"/>
    <col min="8746" max="8746" width="0.75" style="325" customWidth="1"/>
    <col min="8747" max="8747" width="13.75" style="325" customWidth="1"/>
    <col min="8748" max="8751" width="14.375" style="325" customWidth="1"/>
    <col min="8752" max="8752" width="12.875" style="325" customWidth="1"/>
    <col min="8753" max="8753" width="13.75" style="325" customWidth="1"/>
    <col min="8754" max="8754" width="0.75" style="325" customWidth="1"/>
    <col min="8755" max="8755" width="13.75" style="325" customWidth="1"/>
    <col min="8756" max="8759" width="14.375" style="325" customWidth="1"/>
    <col min="8760" max="8760" width="12.875" style="325" customWidth="1"/>
    <col min="8761" max="8761" width="13.75" style="325" customWidth="1"/>
    <col min="8762" max="8762" width="0.75" style="325" customWidth="1"/>
    <col min="8763" max="8763" width="13.75" style="325" customWidth="1"/>
    <col min="8764" max="8767" width="14.375" style="325" customWidth="1"/>
    <col min="8768" max="8768" width="12.875" style="325" customWidth="1"/>
    <col min="8769" max="8769" width="13.75" style="325" customWidth="1"/>
    <col min="8770" max="8770" width="0.75" style="325" customWidth="1"/>
    <col min="8771" max="8771" width="13.75" style="325" customWidth="1"/>
    <col min="8772" max="8775" width="14.375" style="325" customWidth="1"/>
    <col min="8776" max="8776" width="12.875" style="325" customWidth="1"/>
    <col min="8777" max="8777" width="13.75" style="325" customWidth="1"/>
    <col min="8778" max="8778" width="0.75" style="325" customWidth="1"/>
    <col min="8779" max="8779" width="13.75" style="325" customWidth="1"/>
    <col min="8780" max="8783" width="14.375" style="325" customWidth="1"/>
    <col min="8784" max="8784" width="12.875" style="325" customWidth="1"/>
    <col min="8785" max="8785" width="13.75" style="325" customWidth="1"/>
    <col min="8786" max="8786" width="0.75" style="325" customWidth="1"/>
    <col min="8787" max="8787" width="13.75" style="325" customWidth="1"/>
    <col min="8788" max="8791" width="14.375" style="325" customWidth="1"/>
    <col min="8792" max="8792" width="12.875" style="325" customWidth="1"/>
    <col min="8793" max="8793" width="13.75" style="325" customWidth="1"/>
    <col min="8794" max="8794" width="0.75" style="325" customWidth="1"/>
    <col min="8795" max="8795" width="13.75" style="325" customWidth="1"/>
    <col min="8796" max="8799" width="14.375" style="325" customWidth="1"/>
    <col min="8800" max="8800" width="12.875" style="325" customWidth="1"/>
    <col min="8801" max="8801" width="13.75" style="325" customWidth="1"/>
    <col min="8802" max="8802" width="0.75" style="325" customWidth="1"/>
    <col min="8803" max="8803" width="13.75" style="325" customWidth="1"/>
    <col min="8804" max="8807" width="14.375" style="325" customWidth="1"/>
    <col min="8808" max="8808" width="12.875" style="325" customWidth="1"/>
    <col min="8809" max="8809" width="13.75" style="325" customWidth="1"/>
    <col min="8810" max="8810" width="17.5" style="325" customWidth="1"/>
    <col min="8811"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3.75" style="325" customWidth="1"/>
    <col min="8970" max="8970" width="0.75" style="325" customWidth="1"/>
    <col min="8971" max="8971" width="13.75" style="325" customWidth="1"/>
    <col min="8972" max="8975" width="14.375" style="325" customWidth="1"/>
    <col min="8976" max="8976" width="12.875" style="325" customWidth="1"/>
    <col min="8977" max="8977" width="13.75" style="325" customWidth="1"/>
    <col min="8978" max="8978" width="0.75" style="325" customWidth="1"/>
    <col min="8979" max="8979" width="13.75" style="325" customWidth="1"/>
    <col min="8980" max="8983" width="14.375" style="325" customWidth="1"/>
    <col min="8984" max="8984" width="12.875" style="325" customWidth="1"/>
    <col min="8985" max="8985" width="13.75" style="325" customWidth="1"/>
    <col min="8986" max="8986" width="0.75" style="325" customWidth="1"/>
    <col min="8987" max="8987" width="13.75" style="325" customWidth="1"/>
    <col min="8988" max="8991" width="14.375" style="325" customWidth="1"/>
    <col min="8992" max="8992" width="12.875" style="325" customWidth="1"/>
    <col min="8993" max="8993" width="13.75" style="325" customWidth="1"/>
    <col min="8994" max="8994" width="0.75" style="325" customWidth="1"/>
    <col min="8995" max="8995" width="13.75" style="325" customWidth="1"/>
    <col min="8996" max="8999" width="14.375" style="325" customWidth="1"/>
    <col min="9000" max="9000" width="12.875" style="325" customWidth="1"/>
    <col min="9001" max="9001" width="13.75" style="325" customWidth="1"/>
    <col min="9002" max="9002" width="0.75" style="325" customWidth="1"/>
    <col min="9003" max="9003" width="13.75" style="325" customWidth="1"/>
    <col min="9004" max="9007" width="14.375" style="325" customWidth="1"/>
    <col min="9008" max="9008" width="12.875" style="325" customWidth="1"/>
    <col min="9009" max="9009" width="13.75" style="325" customWidth="1"/>
    <col min="9010" max="9010" width="0.75" style="325" customWidth="1"/>
    <col min="9011" max="9011" width="13.75" style="325" customWidth="1"/>
    <col min="9012" max="9015" width="14.375" style="325" customWidth="1"/>
    <col min="9016" max="9016" width="12.875" style="325" customWidth="1"/>
    <col min="9017" max="9017" width="13.75" style="325" customWidth="1"/>
    <col min="9018" max="9018" width="0.75" style="325" customWidth="1"/>
    <col min="9019" max="9019" width="13.75" style="325" customWidth="1"/>
    <col min="9020" max="9023" width="14.375" style="325" customWidth="1"/>
    <col min="9024" max="9024" width="12.875" style="325" customWidth="1"/>
    <col min="9025" max="9025" width="13.75" style="325" customWidth="1"/>
    <col min="9026" max="9026" width="0.75" style="325" customWidth="1"/>
    <col min="9027" max="9027" width="13.75" style="325" customWidth="1"/>
    <col min="9028" max="9031" width="14.375" style="325" customWidth="1"/>
    <col min="9032" max="9032" width="12.875" style="325" customWidth="1"/>
    <col min="9033" max="9033" width="13.75" style="325" customWidth="1"/>
    <col min="9034" max="9034" width="0.75" style="325" customWidth="1"/>
    <col min="9035" max="9035" width="13.75" style="325" customWidth="1"/>
    <col min="9036" max="9039" width="14.375" style="325" customWidth="1"/>
    <col min="9040" max="9040" width="12.875" style="325" customWidth="1"/>
    <col min="9041" max="9041" width="13.75" style="325" customWidth="1"/>
    <col min="9042" max="9042" width="0.75" style="325" customWidth="1"/>
    <col min="9043" max="9043" width="13.75" style="325" customWidth="1"/>
    <col min="9044" max="9047" width="14.375" style="325" customWidth="1"/>
    <col min="9048" max="9048" width="12.875" style="325" customWidth="1"/>
    <col min="9049" max="9049" width="13.75" style="325" customWidth="1"/>
    <col min="9050" max="9050" width="0.75" style="325" customWidth="1"/>
    <col min="9051" max="9051" width="13.75" style="325" customWidth="1"/>
    <col min="9052" max="9055" width="14.375" style="325" customWidth="1"/>
    <col min="9056" max="9056" width="12.875" style="325" customWidth="1"/>
    <col min="9057" max="9057" width="13.75" style="325" customWidth="1"/>
    <col min="9058" max="9058" width="0.75" style="325" customWidth="1"/>
    <col min="9059" max="9059" width="13.75" style="325" customWidth="1"/>
    <col min="9060" max="9063" width="14.375" style="325" customWidth="1"/>
    <col min="9064" max="9064" width="12.875" style="325" customWidth="1"/>
    <col min="9065" max="9065" width="13.75" style="325" customWidth="1"/>
    <col min="9066" max="9066" width="17.5" style="325" customWidth="1"/>
    <col min="9067"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3.75" style="325" customWidth="1"/>
    <col min="9226" max="9226" width="0.75" style="325" customWidth="1"/>
    <col min="9227" max="9227" width="13.75" style="325" customWidth="1"/>
    <col min="9228" max="9231" width="14.375" style="325" customWidth="1"/>
    <col min="9232" max="9232" width="12.875" style="325" customWidth="1"/>
    <col min="9233" max="9233" width="13.75" style="325" customWidth="1"/>
    <col min="9234" max="9234" width="0.75" style="325" customWidth="1"/>
    <col min="9235" max="9235" width="13.75" style="325" customWidth="1"/>
    <col min="9236" max="9239" width="14.375" style="325" customWidth="1"/>
    <col min="9240" max="9240" width="12.875" style="325" customWidth="1"/>
    <col min="9241" max="9241" width="13.75" style="325" customWidth="1"/>
    <col min="9242" max="9242" width="0.75" style="325" customWidth="1"/>
    <col min="9243" max="9243" width="13.75" style="325" customWidth="1"/>
    <col min="9244" max="9247" width="14.375" style="325" customWidth="1"/>
    <col min="9248" max="9248" width="12.875" style="325" customWidth="1"/>
    <col min="9249" max="9249" width="13.75" style="325" customWidth="1"/>
    <col min="9250" max="9250" width="0.75" style="325" customWidth="1"/>
    <col min="9251" max="9251" width="13.75" style="325" customWidth="1"/>
    <col min="9252" max="9255" width="14.375" style="325" customWidth="1"/>
    <col min="9256" max="9256" width="12.875" style="325" customWidth="1"/>
    <col min="9257" max="9257" width="13.75" style="325" customWidth="1"/>
    <col min="9258" max="9258" width="0.75" style="325" customWidth="1"/>
    <col min="9259" max="9259" width="13.75" style="325" customWidth="1"/>
    <col min="9260" max="9263" width="14.375" style="325" customWidth="1"/>
    <col min="9264" max="9264" width="12.875" style="325" customWidth="1"/>
    <col min="9265" max="9265" width="13.75" style="325" customWidth="1"/>
    <col min="9266" max="9266" width="0.75" style="325" customWidth="1"/>
    <col min="9267" max="9267" width="13.75" style="325" customWidth="1"/>
    <col min="9268" max="9271" width="14.375" style="325" customWidth="1"/>
    <col min="9272" max="9272" width="12.875" style="325" customWidth="1"/>
    <col min="9273" max="9273" width="13.75" style="325" customWidth="1"/>
    <col min="9274" max="9274" width="0.75" style="325" customWidth="1"/>
    <col min="9275" max="9275" width="13.75" style="325" customWidth="1"/>
    <col min="9276" max="9279" width="14.375" style="325" customWidth="1"/>
    <col min="9280" max="9280" width="12.875" style="325" customWidth="1"/>
    <col min="9281" max="9281" width="13.75" style="325" customWidth="1"/>
    <col min="9282" max="9282" width="0.75" style="325" customWidth="1"/>
    <col min="9283" max="9283" width="13.75" style="325" customWidth="1"/>
    <col min="9284" max="9287" width="14.375" style="325" customWidth="1"/>
    <col min="9288" max="9288" width="12.875" style="325" customWidth="1"/>
    <col min="9289" max="9289" width="13.75" style="325" customWidth="1"/>
    <col min="9290" max="9290" width="0.75" style="325" customWidth="1"/>
    <col min="9291" max="9291" width="13.75" style="325" customWidth="1"/>
    <col min="9292" max="9295" width="14.375" style="325" customWidth="1"/>
    <col min="9296" max="9296" width="12.875" style="325" customWidth="1"/>
    <col min="9297" max="9297" width="13.75" style="325" customWidth="1"/>
    <col min="9298" max="9298" width="0.75" style="325" customWidth="1"/>
    <col min="9299" max="9299" width="13.75" style="325" customWidth="1"/>
    <col min="9300" max="9303" width="14.375" style="325" customWidth="1"/>
    <col min="9304" max="9304" width="12.875" style="325" customWidth="1"/>
    <col min="9305" max="9305" width="13.75" style="325" customWidth="1"/>
    <col min="9306" max="9306" width="0.75" style="325" customWidth="1"/>
    <col min="9307" max="9307" width="13.75" style="325" customWidth="1"/>
    <col min="9308" max="9311" width="14.375" style="325" customWidth="1"/>
    <col min="9312" max="9312" width="12.875" style="325" customWidth="1"/>
    <col min="9313" max="9313" width="13.75" style="325" customWidth="1"/>
    <col min="9314" max="9314" width="0.75" style="325" customWidth="1"/>
    <col min="9315" max="9315" width="13.75" style="325" customWidth="1"/>
    <col min="9316" max="9319" width="14.375" style="325" customWidth="1"/>
    <col min="9320" max="9320" width="12.875" style="325" customWidth="1"/>
    <col min="9321" max="9321" width="13.75" style="325" customWidth="1"/>
    <col min="9322" max="9322" width="17.5" style="325" customWidth="1"/>
    <col min="9323"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3.75" style="325" customWidth="1"/>
    <col min="9482" max="9482" width="0.75" style="325" customWidth="1"/>
    <col min="9483" max="9483" width="13.75" style="325" customWidth="1"/>
    <col min="9484" max="9487" width="14.375" style="325" customWidth="1"/>
    <col min="9488" max="9488" width="12.875" style="325" customWidth="1"/>
    <col min="9489" max="9489" width="13.75" style="325" customWidth="1"/>
    <col min="9490" max="9490" width="0.75" style="325" customWidth="1"/>
    <col min="9491" max="9491" width="13.75" style="325" customWidth="1"/>
    <col min="9492" max="9495" width="14.375" style="325" customWidth="1"/>
    <col min="9496" max="9496" width="12.875" style="325" customWidth="1"/>
    <col min="9497" max="9497" width="13.75" style="325" customWidth="1"/>
    <col min="9498" max="9498" width="0.75" style="325" customWidth="1"/>
    <col min="9499" max="9499" width="13.75" style="325" customWidth="1"/>
    <col min="9500" max="9503" width="14.375" style="325" customWidth="1"/>
    <col min="9504" max="9504" width="12.875" style="325" customWidth="1"/>
    <col min="9505" max="9505" width="13.75" style="325" customWidth="1"/>
    <col min="9506" max="9506" width="0.75" style="325" customWidth="1"/>
    <col min="9507" max="9507" width="13.75" style="325" customWidth="1"/>
    <col min="9508" max="9511" width="14.375" style="325" customWidth="1"/>
    <col min="9512" max="9512" width="12.875" style="325" customWidth="1"/>
    <col min="9513" max="9513" width="13.75" style="325" customWidth="1"/>
    <col min="9514" max="9514" width="0.75" style="325" customWidth="1"/>
    <col min="9515" max="9515" width="13.75" style="325" customWidth="1"/>
    <col min="9516" max="9519" width="14.375" style="325" customWidth="1"/>
    <col min="9520" max="9520" width="12.875" style="325" customWidth="1"/>
    <col min="9521" max="9521" width="13.75" style="325" customWidth="1"/>
    <col min="9522" max="9522" width="0.75" style="325" customWidth="1"/>
    <col min="9523" max="9523" width="13.75" style="325" customWidth="1"/>
    <col min="9524" max="9527" width="14.375" style="325" customWidth="1"/>
    <col min="9528" max="9528" width="12.875" style="325" customWidth="1"/>
    <col min="9529" max="9529" width="13.75" style="325" customWidth="1"/>
    <col min="9530" max="9530" width="0.75" style="325" customWidth="1"/>
    <col min="9531" max="9531" width="13.75" style="325" customWidth="1"/>
    <col min="9532" max="9535" width="14.375" style="325" customWidth="1"/>
    <col min="9536" max="9536" width="12.875" style="325" customWidth="1"/>
    <col min="9537" max="9537" width="13.75" style="325" customWidth="1"/>
    <col min="9538" max="9538" width="0.75" style="325" customWidth="1"/>
    <col min="9539" max="9539" width="13.75" style="325" customWidth="1"/>
    <col min="9540" max="9543" width="14.375" style="325" customWidth="1"/>
    <col min="9544" max="9544" width="12.875" style="325" customWidth="1"/>
    <col min="9545" max="9545" width="13.75" style="325" customWidth="1"/>
    <col min="9546" max="9546" width="0.75" style="325" customWidth="1"/>
    <col min="9547" max="9547" width="13.75" style="325" customWidth="1"/>
    <col min="9548" max="9551" width="14.375" style="325" customWidth="1"/>
    <col min="9552" max="9552" width="12.875" style="325" customWidth="1"/>
    <col min="9553" max="9553" width="13.75" style="325" customWidth="1"/>
    <col min="9554" max="9554" width="0.75" style="325" customWidth="1"/>
    <col min="9555" max="9555" width="13.75" style="325" customWidth="1"/>
    <col min="9556" max="9559" width="14.375" style="325" customWidth="1"/>
    <col min="9560" max="9560" width="12.875" style="325" customWidth="1"/>
    <col min="9561" max="9561" width="13.75" style="325" customWidth="1"/>
    <col min="9562" max="9562" width="0.75" style="325" customWidth="1"/>
    <col min="9563" max="9563" width="13.75" style="325" customWidth="1"/>
    <col min="9564" max="9567" width="14.375" style="325" customWidth="1"/>
    <col min="9568" max="9568" width="12.875" style="325" customWidth="1"/>
    <col min="9569" max="9569" width="13.75" style="325" customWidth="1"/>
    <col min="9570" max="9570" width="0.75" style="325" customWidth="1"/>
    <col min="9571" max="9571" width="13.75" style="325" customWidth="1"/>
    <col min="9572" max="9575" width="14.375" style="325" customWidth="1"/>
    <col min="9576" max="9576" width="12.875" style="325" customWidth="1"/>
    <col min="9577" max="9577" width="13.75" style="325" customWidth="1"/>
    <col min="9578" max="9578" width="17.5" style="325" customWidth="1"/>
    <col min="9579"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3.75" style="325" customWidth="1"/>
    <col min="9738" max="9738" width="0.75" style="325" customWidth="1"/>
    <col min="9739" max="9739" width="13.75" style="325" customWidth="1"/>
    <col min="9740" max="9743" width="14.375" style="325" customWidth="1"/>
    <col min="9744" max="9744" width="12.875" style="325" customWidth="1"/>
    <col min="9745" max="9745" width="13.75" style="325" customWidth="1"/>
    <col min="9746" max="9746" width="0.75" style="325" customWidth="1"/>
    <col min="9747" max="9747" width="13.75" style="325" customWidth="1"/>
    <col min="9748" max="9751" width="14.375" style="325" customWidth="1"/>
    <col min="9752" max="9752" width="12.875" style="325" customWidth="1"/>
    <col min="9753" max="9753" width="13.75" style="325" customWidth="1"/>
    <col min="9754" max="9754" width="0.75" style="325" customWidth="1"/>
    <col min="9755" max="9755" width="13.75" style="325" customWidth="1"/>
    <col min="9756" max="9759" width="14.375" style="325" customWidth="1"/>
    <col min="9760" max="9760" width="12.875" style="325" customWidth="1"/>
    <col min="9761" max="9761" width="13.75" style="325" customWidth="1"/>
    <col min="9762" max="9762" width="0.75" style="325" customWidth="1"/>
    <col min="9763" max="9763" width="13.75" style="325" customWidth="1"/>
    <col min="9764" max="9767" width="14.375" style="325" customWidth="1"/>
    <col min="9768" max="9768" width="12.875" style="325" customWidth="1"/>
    <col min="9769" max="9769" width="13.75" style="325" customWidth="1"/>
    <col min="9770" max="9770" width="0.75" style="325" customWidth="1"/>
    <col min="9771" max="9771" width="13.75" style="325" customWidth="1"/>
    <col min="9772" max="9775" width="14.375" style="325" customWidth="1"/>
    <col min="9776" max="9776" width="12.875" style="325" customWidth="1"/>
    <col min="9777" max="9777" width="13.75" style="325" customWidth="1"/>
    <col min="9778" max="9778" width="0.75" style="325" customWidth="1"/>
    <col min="9779" max="9779" width="13.75" style="325" customWidth="1"/>
    <col min="9780" max="9783" width="14.375" style="325" customWidth="1"/>
    <col min="9784" max="9784" width="12.875" style="325" customWidth="1"/>
    <col min="9785" max="9785" width="13.75" style="325" customWidth="1"/>
    <col min="9786" max="9786" width="0.75" style="325" customWidth="1"/>
    <col min="9787" max="9787" width="13.75" style="325" customWidth="1"/>
    <col min="9788" max="9791" width="14.375" style="325" customWidth="1"/>
    <col min="9792" max="9792" width="12.875" style="325" customWidth="1"/>
    <col min="9793" max="9793" width="13.75" style="325" customWidth="1"/>
    <col min="9794" max="9794" width="0.75" style="325" customWidth="1"/>
    <col min="9795" max="9795" width="13.75" style="325" customWidth="1"/>
    <col min="9796" max="9799" width="14.375" style="325" customWidth="1"/>
    <col min="9800" max="9800" width="12.875" style="325" customWidth="1"/>
    <col min="9801" max="9801" width="13.75" style="325" customWidth="1"/>
    <col min="9802" max="9802" width="0.75" style="325" customWidth="1"/>
    <col min="9803" max="9803" width="13.75" style="325" customWidth="1"/>
    <col min="9804" max="9807" width="14.375" style="325" customWidth="1"/>
    <col min="9808" max="9808" width="12.875" style="325" customWidth="1"/>
    <col min="9809" max="9809" width="13.75" style="325" customWidth="1"/>
    <col min="9810" max="9810" width="0.75" style="325" customWidth="1"/>
    <col min="9811" max="9811" width="13.75" style="325" customWidth="1"/>
    <col min="9812" max="9815" width="14.375" style="325" customWidth="1"/>
    <col min="9816" max="9816" width="12.875" style="325" customWidth="1"/>
    <col min="9817" max="9817" width="13.75" style="325" customWidth="1"/>
    <col min="9818" max="9818" width="0.75" style="325" customWidth="1"/>
    <col min="9819" max="9819" width="13.75" style="325" customWidth="1"/>
    <col min="9820" max="9823" width="14.375" style="325" customWidth="1"/>
    <col min="9824" max="9824" width="12.875" style="325" customWidth="1"/>
    <col min="9825" max="9825" width="13.75" style="325" customWidth="1"/>
    <col min="9826" max="9826" width="0.75" style="325" customWidth="1"/>
    <col min="9827" max="9827" width="13.75" style="325" customWidth="1"/>
    <col min="9828" max="9831" width="14.375" style="325" customWidth="1"/>
    <col min="9832" max="9832" width="12.875" style="325" customWidth="1"/>
    <col min="9833" max="9833" width="13.75" style="325" customWidth="1"/>
    <col min="9834" max="9834" width="17.5" style="325" customWidth="1"/>
    <col min="9835"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3.75" style="325" customWidth="1"/>
    <col min="9994" max="9994" width="0.75" style="325" customWidth="1"/>
    <col min="9995" max="9995" width="13.75" style="325" customWidth="1"/>
    <col min="9996" max="9999" width="14.375" style="325" customWidth="1"/>
    <col min="10000" max="10000" width="12.875" style="325" customWidth="1"/>
    <col min="10001" max="10001" width="13.75" style="325" customWidth="1"/>
    <col min="10002" max="10002" width="0.75" style="325" customWidth="1"/>
    <col min="10003" max="10003" width="13.75" style="325" customWidth="1"/>
    <col min="10004" max="10007" width="14.375" style="325" customWidth="1"/>
    <col min="10008" max="10008" width="12.875" style="325" customWidth="1"/>
    <col min="10009" max="10009" width="13.75" style="325" customWidth="1"/>
    <col min="10010" max="10010" width="0.75" style="325" customWidth="1"/>
    <col min="10011" max="10011" width="13.75" style="325" customWidth="1"/>
    <col min="10012" max="10015" width="14.375" style="325" customWidth="1"/>
    <col min="10016" max="10016" width="12.875" style="325" customWidth="1"/>
    <col min="10017" max="10017" width="13.75" style="325" customWidth="1"/>
    <col min="10018" max="10018" width="0.75" style="325" customWidth="1"/>
    <col min="10019" max="10019" width="13.75" style="325" customWidth="1"/>
    <col min="10020" max="10023" width="14.375" style="325" customWidth="1"/>
    <col min="10024" max="10024" width="12.875" style="325" customWidth="1"/>
    <col min="10025" max="10025" width="13.75" style="325" customWidth="1"/>
    <col min="10026" max="10026" width="0.75" style="325" customWidth="1"/>
    <col min="10027" max="10027" width="13.75" style="325" customWidth="1"/>
    <col min="10028" max="10031" width="14.375" style="325" customWidth="1"/>
    <col min="10032" max="10032" width="12.875" style="325" customWidth="1"/>
    <col min="10033" max="10033" width="13.75" style="325" customWidth="1"/>
    <col min="10034" max="10034" width="0.75" style="325" customWidth="1"/>
    <col min="10035" max="10035" width="13.75" style="325" customWidth="1"/>
    <col min="10036" max="10039" width="14.375" style="325" customWidth="1"/>
    <col min="10040" max="10040" width="12.875" style="325" customWidth="1"/>
    <col min="10041" max="10041" width="13.75" style="325" customWidth="1"/>
    <col min="10042" max="10042" width="0.75" style="325" customWidth="1"/>
    <col min="10043" max="10043" width="13.75" style="325" customWidth="1"/>
    <col min="10044" max="10047" width="14.375" style="325" customWidth="1"/>
    <col min="10048" max="10048" width="12.875" style="325" customWidth="1"/>
    <col min="10049" max="10049" width="13.75" style="325" customWidth="1"/>
    <col min="10050" max="10050" width="0.75" style="325" customWidth="1"/>
    <col min="10051" max="10051" width="13.75" style="325" customWidth="1"/>
    <col min="10052" max="10055" width="14.375" style="325" customWidth="1"/>
    <col min="10056" max="10056" width="12.875" style="325" customWidth="1"/>
    <col min="10057" max="10057" width="13.75" style="325" customWidth="1"/>
    <col min="10058" max="10058" width="0.75" style="325" customWidth="1"/>
    <col min="10059" max="10059" width="13.75" style="325" customWidth="1"/>
    <col min="10060" max="10063" width="14.375" style="325" customWidth="1"/>
    <col min="10064" max="10064" width="12.875" style="325" customWidth="1"/>
    <col min="10065" max="10065" width="13.75" style="325" customWidth="1"/>
    <col min="10066" max="10066" width="0.75" style="325" customWidth="1"/>
    <col min="10067" max="10067" width="13.75" style="325" customWidth="1"/>
    <col min="10068" max="10071" width="14.375" style="325" customWidth="1"/>
    <col min="10072" max="10072" width="12.875" style="325" customWidth="1"/>
    <col min="10073" max="10073" width="13.75" style="325" customWidth="1"/>
    <col min="10074" max="10074" width="0.75" style="325" customWidth="1"/>
    <col min="10075" max="10075" width="13.75" style="325" customWidth="1"/>
    <col min="10076" max="10079" width="14.375" style="325" customWidth="1"/>
    <col min="10080" max="10080" width="12.875" style="325" customWidth="1"/>
    <col min="10081" max="10081" width="13.75" style="325" customWidth="1"/>
    <col min="10082" max="10082" width="0.75" style="325" customWidth="1"/>
    <col min="10083" max="10083" width="13.75" style="325" customWidth="1"/>
    <col min="10084" max="10087" width="14.375" style="325" customWidth="1"/>
    <col min="10088" max="10088" width="12.875" style="325" customWidth="1"/>
    <col min="10089" max="10089" width="13.75" style="325" customWidth="1"/>
    <col min="10090" max="10090" width="17.5" style="325" customWidth="1"/>
    <col min="10091"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3.75" style="325" customWidth="1"/>
    <col min="10250" max="10250" width="0.75" style="325" customWidth="1"/>
    <col min="10251" max="10251" width="13.75" style="325" customWidth="1"/>
    <col min="10252" max="10255" width="14.375" style="325" customWidth="1"/>
    <col min="10256" max="10256" width="12.875" style="325" customWidth="1"/>
    <col min="10257" max="10257" width="13.75" style="325" customWidth="1"/>
    <col min="10258" max="10258" width="0.75" style="325" customWidth="1"/>
    <col min="10259" max="10259" width="13.75" style="325" customWidth="1"/>
    <col min="10260" max="10263" width="14.375" style="325" customWidth="1"/>
    <col min="10264" max="10264" width="12.875" style="325" customWidth="1"/>
    <col min="10265" max="10265" width="13.75" style="325" customWidth="1"/>
    <col min="10266" max="10266" width="0.75" style="325" customWidth="1"/>
    <col min="10267" max="10267" width="13.75" style="325" customWidth="1"/>
    <col min="10268" max="10271" width="14.375" style="325" customWidth="1"/>
    <col min="10272" max="10272" width="12.875" style="325" customWidth="1"/>
    <col min="10273" max="10273" width="13.75" style="325" customWidth="1"/>
    <col min="10274" max="10274" width="0.75" style="325" customWidth="1"/>
    <col min="10275" max="10275" width="13.75" style="325" customWidth="1"/>
    <col min="10276" max="10279" width="14.375" style="325" customWidth="1"/>
    <col min="10280" max="10280" width="12.875" style="325" customWidth="1"/>
    <col min="10281" max="10281" width="13.75" style="325" customWidth="1"/>
    <col min="10282" max="10282" width="0.75" style="325" customWidth="1"/>
    <col min="10283" max="10283" width="13.75" style="325" customWidth="1"/>
    <col min="10284" max="10287" width="14.375" style="325" customWidth="1"/>
    <col min="10288" max="10288" width="12.875" style="325" customWidth="1"/>
    <col min="10289" max="10289" width="13.75" style="325" customWidth="1"/>
    <col min="10290" max="10290" width="0.75" style="325" customWidth="1"/>
    <col min="10291" max="10291" width="13.75" style="325" customWidth="1"/>
    <col min="10292" max="10295" width="14.375" style="325" customWidth="1"/>
    <col min="10296" max="10296" width="12.875" style="325" customWidth="1"/>
    <col min="10297" max="10297" width="13.75" style="325" customWidth="1"/>
    <col min="10298" max="10298" width="0.75" style="325" customWidth="1"/>
    <col min="10299" max="10299" width="13.75" style="325" customWidth="1"/>
    <col min="10300" max="10303" width="14.375" style="325" customWidth="1"/>
    <col min="10304" max="10304" width="12.875" style="325" customWidth="1"/>
    <col min="10305" max="10305" width="13.75" style="325" customWidth="1"/>
    <col min="10306" max="10306" width="0.75" style="325" customWidth="1"/>
    <col min="10307" max="10307" width="13.75" style="325" customWidth="1"/>
    <col min="10308" max="10311" width="14.375" style="325" customWidth="1"/>
    <col min="10312" max="10312" width="12.875" style="325" customWidth="1"/>
    <col min="10313" max="10313" width="13.75" style="325" customWidth="1"/>
    <col min="10314" max="10314" width="0.75" style="325" customWidth="1"/>
    <col min="10315" max="10315" width="13.75" style="325" customWidth="1"/>
    <col min="10316" max="10319" width="14.375" style="325" customWidth="1"/>
    <col min="10320" max="10320" width="12.875" style="325" customWidth="1"/>
    <col min="10321" max="10321" width="13.75" style="325" customWidth="1"/>
    <col min="10322" max="10322" width="0.75" style="325" customWidth="1"/>
    <col min="10323" max="10323" width="13.75" style="325" customWidth="1"/>
    <col min="10324" max="10327" width="14.375" style="325" customWidth="1"/>
    <col min="10328" max="10328" width="12.875" style="325" customWidth="1"/>
    <col min="10329" max="10329" width="13.75" style="325" customWidth="1"/>
    <col min="10330" max="10330" width="0.75" style="325" customWidth="1"/>
    <col min="10331" max="10331" width="13.75" style="325" customWidth="1"/>
    <col min="10332" max="10335" width="14.375" style="325" customWidth="1"/>
    <col min="10336" max="10336" width="12.875" style="325" customWidth="1"/>
    <col min="10337" max="10337" width="13.75" style="325" customWidth="1"/>
    <col min="10338" max="10338" width="0.75" style="325" customWidth="1"/>
    <col min="10339" max="10339" width="13.75" style="325" customWidth="1"/>
    <col min="10340" max="10343" width="14.375" style="325" customWidth="1"/>
    <col min="10344" max="10344" width="12.875" style="325" customWidth="1"/>
    <col min="10345" max="10345" width="13.75" style="325" customWidth="1"/>
    <col min="10346" max="10346" width="17.5" style="325" customWidth="1"/>
    <col min="10347"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3.75" style="325" customWidth="1"/>
    <col min="10506" max="10506" width="0.75" style="325" customWidth="1"/>
    <col min="10507" max="10507" width="13.75" style="325" customWidth="1"/>
    <col min="10508" max="10511" width="14.375" style="325" customWidth="1"/>
    <col min="10512" max="10512" width="12.875" style="325" customWidth="1"/>
    <col min="10513" max="10513" width="13.75" style="325" customWidth="1"/>
    <col min="10514" max="10514" width="0.75" style="325" customWidth="1"/>
    <col min="10515" max="10515" width="13.75" style="325" customWidth="1"/>
    <col min="10516" max="10519" width="14.375" style="325" customWidth="1"/>
    <col min="10520" max="10520" width="12.875" style="325" customWidth="1"/>
    <col min="10521" max="10521" width="13.75" style="325" customWidth="1"/>
    <col min="10522" max="10522" width="0.75" style="325" customWidth="1"/>
    <col min="10523" max="10523" width="13.75" style="325" customWidth="1"/>
    <col min="10524" max="10527" width="14.375" style="325" customWidth="1"/>
    <col min="10528" max="10528" width="12.875" style="325" customWidth="1"/>
    <col min="10529" max="10529" width="13.75" style="325" customWidth="1"/>
    <col min="10530" max="10530" width="0.75" style="325" customWidth="1"/>
    <col min="10531" max="10531" width="13.75" style="325" customWidth="1"/>
    <col min="10532" max="10535" width="14.375" style="325" customWidth="1"/>
    <col min="10536" max="10536" width="12.875" style="325" customWidth="1"/>
    <col min="10537" max="10537" width="13.75" style="325" customWidth="1"/>
    <col min="10538" max="10538" width="0.75" style="325" customWidth="1"/>
    <col min="10539" max="10539" width="13.75" style="325" customWidth="1"/>
    <col min="10540" max="10543" width="14.375" style="325" customWidth="1"/>
    <col min="10544" max="10544" width="12.875" style="325" customWidth="1"/>
    <col min="10545" max="10545" width="13.75" style="325" customWidth="1"/>
    <col min="10546" max="10546" width="0.75" style="325" customWidth="1"/>
    <col min="10547" max="10547" width="13.75" style="325" customWidth="1"/>
    <col min="10548" max="10551" width="14.375" style="325" customWidth="1"/>
    <col min="10552" max="10552" width="12.875" style="325" customWidth="1"/>
    <col min="10553" max="10553" width="13.75" style="325" customWidth="1"/>
    <col min="10554" max="10554" width="0.75" style="325" customWidth="1"/>
    <col min="10555" max="10555" width="13.75" style="325" customWidth="1"/>
    <col min="10556" max="10559" width="14.375" style="325" customWidth="1"/>
    <col min="10560" max="10560" width="12.875" style="325" customWidth="1"/>
    <col min="10561" max="10561" width="13.75" style="325" customWidth="1"/>
    <col min="10562" max="10562" width="0.75" style="325" customWidth="1"/>
    <col min="10563" max="10563" width="13.75" style="325" customWidth="1"/>
    <col min="10564" max="10567" width="14.375" style="325" customWidth="1"/>
    <col min="10568" max="10568" width="12.875" style="325" customWidth="1"/>
    <col min="10569" max="10569" width="13.75" style="325" customWidth="1"/>
    <col min="10570" max="10570" width="0.75" style="325" customWidth="1"/>
    <col min="10571" max="10571" width="13.75" style="325" customWidth="1"/>
    <col min="10572" max="10575" width="14.375" style="325" customWidth="1"/>
    <col min="10576" max="10576" width="12.875" style="325" customWidth="1"/>
    <col min="10577" max="10577" width="13.75" style="325" customWidth="1"/>
    <col min="10578" max="10578" width="0.75" style="325" customWidth="1"/>
    <col min="10579" max="10579" width="13.75" style="325" customWidth="1"/>
    <col min="10580" max="10583" width="14.375" style="325" customWidth="1"/>
    <col min="10584" max="10584" width="12.875" style="325" customWidth="1"/>
    <col min="10585" max="10585" width="13.75" style="325" customWidth="1"/>
    <col min="10586" max="10586" width="0.75" style="325" customWidth="1"/>
    <col min="10587" max="10587" width="13.75" style="325" customWidth="1"/>
    <col min="10588" max="10591" width="14.375" style="325" customWidth="1"/>
    <col min="10592" max="10592" width="12.875" style="325" customWidth="1"/>
    <col min="10593" max="10593" width="13.75" style="325" customWidth="1"/>
    <col min="10594" max="10594" width="0.75" style="325" customWidth="1"/>
    <col min="10595" max="10595" width="13.75" style="325" customWidth="1"/>
    <col min="10596" max="10599" width="14.375" style="325" customWidth="1"/>
    <col min="10600" max="10600" width="12.875" style="325" customWidth="1"/>
    <col min="10601" max="10601" width="13.75" style="325" customWidth="1"/>
    <col min="10602" max="10602" width="17.5" style="325" customWidth="1"/>
    <col min="10603"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3.75" style="325" customWidth="1"/>
    <col min="10762" max="10762" width="0.75" style="325" customWidth="1"/>
    <col min="10763" max="10763" width="13.75" style="325" customWidth="1"/>
    <col min="10764" max="10767" width="14.375" style="325" customWidth="1"/>
    <col min="10768" max="10768" width="12.875" style="325" customWidth="1"/>
    <col min="10769" max="10769" width="13.75" style="325" customWidth="1"/>
    <col min="10770" max="10770" width="0.75" style="325" customWidth="1"/>
    <col min="10771" max="10771" width="13.75" style="325" customWidth="1"/>
    <col min="10772" max="10775" width="14.375" style="325" customWidth="1"/>
    <col min="10776" max="10776" width="12.875" style="325" customWidth="1"/>
    <col min="10777" max="10777" width="13.75" style="325" customWidth="1"/>
    <col min="10778" max="10778" width="0.75" style="325" customWidth="1"/>
    <col min="10779" max="10779" width="13.75" style="325" customWidth="1"/>
    <col min="10780" max="10783" width="14.375" style="325" customWidth="1"/>
    <col min="10784" max="10784" width="12.875" style="325" customWidth="1"/>
    <col min="10785" max="10785" width="13.75" style="325" customWidth="1"/>
    <col min="10786" max="10786" width="0.75" style="325" customWidth="1"/>
    <col min="10787" max="10787" width="13.75" style="325" customWidth="1"/>
    <col min="10788" max="10791" width="14.375" style="325" customWidth="1"/>
    <col min="10792" max="10792" width="12.875" style="325" customWidth="1"/>
    <col min="10793" max="10793" width="13.75" style="325" customWidth="1"/>
    <col min="10794" max="10794" width="0.75" style="325" customWidth="1"/>
    <col min="10795" max="10795" width="13.75" style="325" customWidth="1"/>
    <col min="10796" max="10799" width="14.375" style="325" customWidth="1"/>
    <col min="10800" max="10800" width="12.875" style="325" customWidth="1"/>
    <col min="10801" max="10801" width="13.75" style="325" customWidth="1"/>
    <col min="10802" max="10802" width="0.75" style="325" customWidth="1"/>
    <col min="10803" max="10803" width="13.75" style="325" customWidth="1"/>
    <col min="10804" max="10807" width="14.375" style="325" customWidth="1"/>
    <col min="10808" max="10808" width="12.875" style="325" customWidth="1"/>
    <col min="10809" max="10809" width="13.75" style="325" customWidth="1"/>
    <col min="10810" max="10810" width="0.75" style="325" customWidth="1"/>
    <col min="10811" max="10811" width="13.75" style="325" customWidth="1"/>
    <col min="10812" max="10815" width="14.375" style="325" customWidth="1"/>
    <col min="10816" max="10816" width="12.875" style="325" customWidth="1"/>
    <col min="10817" max="10817" width="13.75" style="325" customWidth="1"/>
    <col min="10818" max="10818" width="0.75" style="325" customWidth="1"/>
    <col min="10819" max="10819" width="13.75" style="325" customWidth="1"/>
    <col min="10820" max="10823" width="14.375" style="325" customWidth="1"/>
    <col min="10824" max="10824" width="12.875" style="325" customWidth="1"/>
    <col min="10825" max="10825" width="13.75" style="325" customWidth="1"/>
    <col min="10826" max="10826" width="0.75" style="325" customWidth="1"/>
    <col min="10827" max="10827" width="13.75" style="325" customWidth="1"/>
    <col min="10828" max="10831" width="14.375" style="325" customWidth="1"/>
    <col min="10832" max="10832" width="12.875" style="325" customWidth="1"/>
    <col min="10833" max="10833" width="13.75" style="325" customWidth="1"/>
    <col min="10834" max="10834" width="0.75" style="325" customWidth="1"/>
    <col min="10835" max="10835" width="13.75" style="325" customWidth="1"/>
    <col min="10836" max="10839" width="14.375" style="325" customWidth="1"/>
    <col min="10840" max="10840" width="12.875" style="325" customWidth="1"/>
    <col min="10841" max="10841" width="13.75" style="325" customWidth="1"/>
    <col min="10842" max="10842" width="0.75" style="325" customWidth="1"/>
    <col min="10843" max="10843" width="13.75" style="325" customWidth="1"/>
    <col min="10844" max="10847" width="14.375" style="325" customWidth="1"/>
    <col min="10848" max="10848" width="12.875" style="325" customWidth="1"/>
    <col min="10849" max="10849" width="13.75" style="325" customWidth="1"/>
    <col min="10850" max="10850" width="0.75" style="325" customWidth="1"/>
    <col min="10851" max="10851" width="13.75" style="325" customWidth="1"/>
    <col min="10852" max="10855" width="14.375" style="325" customWidth="1"/>
    <col min="10856" max="10856" width="12.875" style="325" customWidth="1"/>
    <col min="10857" max="10857" width="13.75" style="325" customWidth="1"/>
    <col min="10858" max="10858" width="17.5" style="325" customWidth="1"/>
    <col min="10859"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3.75" style="325" customWidth="1"/>
    <col min="11018" max="11018" width="0.75" style="325" customWidth="1"/>
    <col min="11019" max="11019" width="13.75" style="325" customWidth="1"/>
    <col min="11020" max="11023" width="14.375" style="325" customWidth="1"/>
    <col min="11024" max="11024" width="12.875" style="325" customWidth="1"/>
    <col min="11025" max="11025" width="13.75" style="325" customWidth="1"/>
    <col min="11026" max="11026" width="0.75" style="325" customWidth="1"/>
    <col min="11027" max="11027" width="13.75" style="325" customWidth="1"/>
    <col min="11028" max="11031" width="14.375" style="325" customWidth="1"/>
    <col min="11032" max="11032" width="12.875" style="325" customWidth="1"/>
    <col min="11033" max="11033" width="13.75" style="325" customWidth="1"/>
    <col min="11034" max="11034" width="0.75" style="325" customWidth="1"/>
    <col min="11035" max="11035" width="13.75" style="325" customWidth="1"/>
    <col min="11036" max="11039" width="14.375" style="325" customWidth="1"/>
    <col min="11040" max="11040" width="12.875" style="325" customWidth="1"/>
    <col min="11041" max="11041" width="13.75" style="325" customWidth="1"/>
    <col min="11042" max="11042" width="0.75" style="325" customWidth="1"/>
    <col min="11043" max="11043" width="13.75" style="325" customWidth="1"/>
    <col min="11044" max="11047" width="14.375" style="325" customWidth="1"/>
    <col min="11048" max="11048" width="12.875" style="325" customWidth="1"/>
    <col min="11049" max="11049" width="13.75" style="325" customWidth="1"/>
    <col min="11050" max="11050" width="0.75" style="325" customWidth="1"/>
    <col min="11051" max="11051" width="13.75" style="325" customWidth="1"/>
    <col min="11052" max="11055" width="14.375" style="325" customWidth="1"/>
    <col min="11056" max="11056" width="12.875" style="325" customWidth="1"/>
    <col min="11057" max="11057" width="13.75" style="325" customWidth="1"/>
    <col min="11058" max="11058" width="0.75" style="325" customWidth="1"/>
    <col min="11059" max="11059" width="13.75" style="325" customWidth="1"/>
    <col min="11060" max="11063" width="14.375" style="325" customWidth="1"/>
    <col min="11064" max="11064" width="12.875" style="325" customWidth="1"/>
    <col min="11065" max="11065" width="13.75" style="325" customWidth="1"/>
    <col min="11066" max="11066" width="0.75" style="325" customWidth="1"/>
    <col min="11067" max="11067" width="13.75" style="325" customWidth="1"/>
    <col min="11068" max="11071" width="14.375" style="325" customWidth="1"/>
    <col min="11072" max="11072" width="12.875" style="325" customWidth="1"/>
    <col min="11073" max="11073" width="13.75" style="325" customWidth="1"/>
    <col min="11074" max="11074" width="0.75" style="325" customWidth="1"/>
    <col min="11075" max="11075" width="13.75" style="325" customWidth="1"/>
    <col min="11076" max="11079" width="14.375" style="325" customWidth="1"/>
    <col min="11080" max="11080" width="12.875" style="325" customWidth="1"/>
    <col min="11081" max="11081" width="13.75" style="325" customWidth="1"/>
    <col min="11082" max="11082" width="0.75" style="325" customWidth="1"/>
    <col min="11083" max="11083" width="13.75" style="325" customWidth="1"/>
    <col min="11084" max="11087" width="14.375" style="325" customWidth="1"/>
    <col min="11088" max="11088" width="12.875" style="325" customWidth="1"/>
    <col min="11089" max="11089" width="13.75" style="325" customWidth="1"/>
    <col min="11090" max="11090" width="0.75" style="325" customWidth="1"/>
    <col min="11091" max="11091" width="13.75" style="325" customWidth="1"/>
    <col min="11092" max="11095" width="14.375" style="325" customWidth="1"/>
    <col min="11096" max="11096" width="12.875" style="325" customWidth="1"/>
    <col min="11097" max="11097" width="13.75" style="325" customWidth="1"/>
    <col min="11098" max="11098" width="0.75" style="325" customWidth="1"/>
    <col min="11099" max="11099" width="13.75" style="325" customWidth="1"/>
    <col min="11100" max="11103" width="14.375" style="325" customWidth="1"/>
    <col min="11104" max="11104" width="12.875" style="325" customWidth="1"/>
    <col min="11105" max="11105" width="13.75" style="325" customWidth="1"/>
    <col min="11106" max="11106" width="0.75" style="325" customWidth="1"/>
    <col min="11107" max="11107" width="13.75" style="325" customWidth="1"/>
    <col min="11108" max="11111" width="14.375" style="325" customWidth="1"/>
    <col min="11112" max="11112" width="12.875" style="325" customWidth="1"/>
    <col min="11113" max="11113" width="13.75" style="325" customWidth="1"/>
    <col min="11114" max="11114" width="17.5" style="325" customWidth="1"/>
    <col min="11115"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3.75" style="325" customWidth="1"/>
    <col min="11274" max="11274" width="0.75" style="325" customWidth="1"/>
    <col min="11275" max="11275" width="13.75" style="325" customWidth="1"/>
    <col min="11276" max="11279" width="14.375" style="325" customWidth="1"/>
    <col min="11280" max="11280" width="12.875" style="325" customWidth="1"/>
    <col min="11281" max="11281" width="13.75" style="325" customWidth="1"/>
    <col min="11282" max="11282" width="0.75" style="325" customWidth="1"/>
    <col min="11283" max="11283" width="13.75" style="325" customWidth="1"/>
    <col min="11284" max="11287" width="14.375" style="325" customWidth="1"/>
    <col min="11288" max="11288" width="12.875" style="325" customWidth="1"/>
    <col min="11289" max="11289" width="13.75" style="325" customWidth="1"/>
    <col min="11290" max="11290" width="0.75" style="325" customWidth="1"/>
    <col min="11291" max="11291" width="13.75" style="325" customWidth="1"/>
    <col min="11292" max="11295" width="14.375" style="325" customWidth="1"/>
    <col min="11296" max="11296" width="12.875" style="325" customWidth="1"/>
    <col min="11297" max="11297" width="13.75" style="325" customWidth="1"/>
    <col min="11298" max="11298" width="0.75" style="325" customWidth="1"/>
    <col min="11299" max="11299" width="13.75" style="325" customWidth="1"/>
    <col min="11300" max="11303" width="14.375" style="325" customWidth="1"/>
    <col min="11304" max="11304" width="12.875" style="325" customWidth="1"/>
    <col min="11305" max="11305" width="13.75" style="325" customWidth="1"/>
    <col min="11306" max="11306" width="0.75" style="325" customWidth="1"/>
    <col min="11307" max="11307" width="13.75" style="325" customWidth="1"/>
    <col min="11308" max="11311" width="14.375" style="325" customWidth="1"/>
    <col min="11312" max="11312" width="12.875" style="325" customWidth="1"/>
    <col min="11313" max="11313" width="13.75" style="325" customWidth="1"/>
    <col min="11314" max="11314" width="0.75" style="325" customWidth="1"/>
    <col min="11315" max="11315" width="13.75" style="325" customWidth="1"/>
    <col min="11316" max="11319" width="14.375" style="325" customWidth="1"/>
    <col min="11320" max="11320" width="12.875" style="325" customWidth="1"/>
    <col min="11321" max="11321" width="13.75" style="325" customWidth="1"/>
    <col min="11322" max="11322" width="0.75" style="325" customWidth="1"/>
    <col min="11323" max="11323" width="13.75" style="325" customWidth="1"/>
    <col min="11324" max="11327" width="14.375" style="325" customWidth="1"/>
    <col min="11328" max="11328" width="12.875" style="325" customWidth="1"/>
    <col min="11329" max="11329" width="13.75" style="325" customWidth="1"/>
    <col min="11330" max="11330" width="0.75" style="325" customWidth="1"/>
    <col min="11331" max="11331" width="13.75" style="325" customWidth="1"/>
    <col min="11332" max="11335" width="14.375" style="325" customWidth="1"/>
    <col min="11336" max="11336" width="12.875" style="325" customWidth="1"/>
    <col min="11337" max="11337" width="13.75" style="325" customWidth="1"/>
    <col min="11338" max="11338" width="0.75" style="325" customWidth="1"/>
    <col min="11339" max="11339" width="13.75" style="325" customWidth="1"/>
    <col min="11340" max="11343" width="14.375" style="325" customWidth="1"/>
    <col min="11344" max="11344" width="12.875" style="325" customWidth="1"/>
    <col min="11345" max="11345" width="13.75" style="325" customWidth="1"/>
    <col min="11346" max="11346" width="0.75" style="325" customWidth="1"/>
    <col min="11347" max="11347" width="13.75" style="325" customWidth="1"/>
    <col min="11348" max="11351" width="14.375" style="325" customWidth="1"/>
    <col min="11352" max="11352" width="12.875" style="325" customWidth="1"/>
    <col min="11353" max="11353" width="13.75" style="325" customWidth="1"/>
    <col min="11354" max="11354" width="0.75" style="325" customWidth="1"/>
    <col min="11355" max="11355" width="13.75" style="325" customWidth="1"/>
    <col min="11356" max="11359" width="14.375" style="325" customWidth="1"/>
    <col min="11360" max="11360" width="12.875" style="325" customWidth="1"/>
    <col min="11361" max="11361" width="13.75" style="325" customWidth="1"/>
    <col min="11362" max="11362" width="0.75" style="325" customWidth="1"/>
    <col min="11363" max="11363" width="13.75" style="325" customWidth="1"/>
    <col min="11364" max="11367" width="14.375" style="325" customWidth="1"/>
    <col min="11368" max="11368" width="12.875" style="325" customWidth="1"/>
    <col min="11369" max="11369" width="13.75" style="325" customWidth="1"/>
    <col min="11370" max="11370" width="17.5" style="325" customWidth="1"/>
    <col min="11371"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3.75" style="325" customWidth="1"/>
    <col min="11530" max="11530" width="0.75" style="325" customWidth="1"/>
    <col min="11531" max="11531" width="13.75" style="325" customWidth="1"/>
    <col min="11532" max="11535" width="14.375" style="325" customWidth="1"/>
    <col min="11536" max="11536" width="12.875" style="325" customWidth="1"/>
    <col min="11537" max="11537" width="13.75" style="325" customWidth="1"/>
    <col min="11538" max="11538" width="0.75" style="325" customWidth="1"/>
    <col min="11539" max="11539" width="13.75" style="325" customWidth="1"/>
    <col min="11540" max="11543" width="14.375" style="325" customWidth="1"/>
    <col min="11544" max="11544" width="12.875" style="325" customWidth="1"/>
    <col min="11545" max="11545" width="13.75" style="325" customWidth="1"/>
    <col min="11546" max="11546" width="0.75" style="325" customWidth="1"/>
    <col min="11547" max="11547" width="13.75" style="325" customWidth="1"/>
    <col min="11548" max="11551" width="14.375" style="325" customWidth="1"/>
    <col min="11552" max="11552" width="12.875" style="325" customWidth="1"/>
    <col min="11553" max="11553" width="13.75" style="325" customWidth="1"/>
    <col min="11554" max="11554" width="0.75" style="325" customWidth="1"/>
    <col min="11555" max="11555" width="13.75" style="325" customWidth="1"/>
    <col min="11556" max="11559" width="14.375" style="325" customWidth="1"/>
    <col min="11560" max="11560" width="12.875" style="325" customWidth="1"/>
    <col min="11561" max="11561" width="13.75" style="325" customWidth="1"/>
    <col min="11562" max="11562" width="0.75" style="325" customWidth="1"/>
    <col min="11563" max="11563" width="13.75" style="325" customWidth="1"/>
    <col min="11564" max="11567" width="14.375" style="325" customWidth="1"/>
    <col min="11568" max="11568" width="12.875" style="325" customWidth="1"/>
    <col min="11569" max="11569" width="13.75" style="325" customWidth="1"/>
    <col min="11570" max="11570" width="0.75" style="325" customWidth="1"/>
    <col min="11571" max="11571" width="13.75" style="325" customWidth="1"/>
    <col min="11572" max="11575" width="14.375" style="325" customWidth="1"/>
    <col min="11576" max="11576" width="12.875" style="325" customWidth="1"/>
    <col min="11577" max="11577" width="13.75" style="325" customWidth="1"/>
    <col min="11578" max="11578" width="0.75" style="325" customWidth="1"/>
    <col min="11579" max="11579" width="13.75" style="325" customWidth="1"/>
    <col min="11580" max="11583" width="14.375" style="325" customWidth="1"/>
    <col min="11584" max="11584" width="12.875" style="325" customWidth="1"/>
    <col min="11585" max="11585" width="13.75" style="325" customWidth="1"/>
    <col min="11586" max="11586" width="0.75" style="325" customWidth="1"/>
    <col min="11587" max="11587" width="13.75" style="325" customWidth="1"/>
    <col min="11588" max="11591" width="14.375" style="325" customWidth="1"/>
    <col min="11592" max="11592" width="12.875" style="325" customWidth="1"/>
    <col min="11593" max="11593" width="13.75" style="325" customWidth="1"/>
    <col min="11594" max="11594" width="0.75" style="325" customWidth="1"/>
    <col min="11595" max="11595" width="13.75" style="325" customWidth="1"/>
    <col min="11596" max="11599" width="14.375" style="325" customWidth="1"/>
    <col min="11600" max="11600" width="12.875" style="325" customWidth="1"/>
    <col min="11601" max="11601" width="13.75" style="325" customWidth="1"/>
    <col min="11602" max="11602" width="0.75" style="325" customWidth="1"/>
    <col min="11603" max="11603" width="13.75" style="325" customWidth="1"/>
    <col min="11604" max="11607" width="14.375" style="325" customWidth="1"/>
    <col min="11608" max="11608" width="12.875" style="325" customWidth="1"/>
    <col min="11609" max="11609" width="13.75" style="325" customWidth="1"/>
    <col min="11610" max="11610" width="0.75" style="325" customWidth="1"/>
    <col min="11611" max="11611" width="13.75" style="325" customWidth="1"/>
    <col min="11612" max="11615" width="14.375" style="325" customWidth="1"/>
    <col min="11616" max="11616" width="12.875" style="325" customWidth="1"/>
    <col min="11617" max="11617" width="13.75" style="325" customWidth="1"/>
    <col min="11618" max="11618" width="0.75" style="325" customWidth="1"/>
    <col min="11619" max="11619" width="13.75" style="325" customWidth="1"/>
    <col min="11620" max="11623" width="14.375" style="325" customWidth="1"/>
    <col min="11624" max="11624" width="12.875" style="325" customWidth="1"/>
    <col min="11625" max="11625" width="13.75" style="325" customWidth="1"/>
    <col min="11626" max="11626" width="17.5" style="325" customWidth="1"/>
    <col min="11627"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3.75" style="325" customWidth="1"/>
    <col min="11786" max="11786" width="0.75" style="325" customWidth="1"/>
    <col min="11787" max="11787" width="13.75" style="325" customWidth="1"/>
    <col min="11788" max="11791" width="14.375" style="325" customWidth="1"/>
    <col min="11792" max="11792" width="12.875" style="325" customWidth="1"/>
    <col min="11793" max="11793" width="13.75" style="325" customWidth="1"/>
    <col min="11794" max="11794" width="0.75" style="325" customWidth="1"/>
    <col min="11795" max="11795" width="13.75" style="325" customWidth="1"/>
    <col min="11796" max="11799" width="14.375" style="325" customWidth="1"/>
    <col min="11800" max="11800" width="12.875" style="325" customWidth="1"/>
    <col min="11801" max="11801" width="13.75" style="325" customWidth="1"/>
    <col min="11802" max="11802" width="0.75" style="325" customWidth="1"/>
    <col min="11803" max="11803" width="13.75" style="325" customWidth="1"/>
    <col min="11804" max="11807" width="14.375" style="325" customWidth="1"/>
    <col min="11808" max="11808" width="12.875" style="325" customWidth="1"/>
    <col min="11809" max="11809" width="13.75" style="325" customWidth="1"/>
    <col min="11810" max="11810" width="0.75" style="325" customWidth="1"/>
    <col min="11811" max="11811" width="13.75" style="325" customWidth="1"/>
    <col min="11812" max="11815" width="14.375" style="325" customWidth="1"/>
    <col min="11816" max="11816" width="12.875" style="325" customWidth="1"/>
    <col min="11817" max="11817" width="13.75" style="325" customWidth="1"/>
    <col min="11818" max="11818" width="0.75" style="325" customWidth="1"/>
    <col min="11819" max="11819" width="13.75" style="325" customWidth="1"/>
    <col min="11820" max="11823" width="14.375" style="325" customWidth="1"/>
    <col min="11824" max="11824" width="12.875" style="325" customWidth="1"/>
    <col min="11825" max="11825" width="13.75" style="325" customWidth="1"/>
    <col min="11826" max="11826" width="0.75" style="325" customWidth="1"/>
    <col min="11827" max="11827" width="13.75" style="325" customWidth="1"/>
    <col min="11828" max="11831" width="14.375" style="325" customWidth="1"/>
    <col min="11832" max="11832" width="12.875" style="325" customWidth="1"/>
    <col min="11833" max="11833" width="13.75" style="325" customWidth="1"/>
    <col min="11834" max="11834" width="0.75" style="325" customWidth="1"/>
    <col min="11835" max="11835" width="13.75" style="325" customWidth="1"/>
    <col min="11836" max="11839" width="14.375" style="325" customWidth="1"/>
    <col min="11840" max="11840" width="12.875" style="325" customWidth="1"/>
    <col min="11841" max="11841" width="13.75" style="325" customWidth="1"/>
    <col min="11842" max="11842" width="0.75" style="325" customWidth="1"/>
    <col min="11843" max="11843" width="13.75" style="325" customWidth="1"/>
    <col min="11844" max="11847" width="14.375" style="325" customWidth="1"/>
    <col min="11848" max="11848" width="12.875" style="325" customWidth="1"/>
    <col min="11849" max="11849" width="13.75" style="325" customWidth="1"/>
    <col min="11850" max="11850" width="0.75" style="325" customWidth="1"/>
    <col min="11851" max="11851" width="13.75" style="325" customWidth="1"/>
    <col min="11852" max="11855" width="14.375" style="325" customWidth="1"/>
    <col min="11856" max="11856" width="12.875" style="325" customWidth="1"/>
    <col min="11857" max="11857" width="13.75" style="325" customWidth="1"/>
    <col min="11858" max="11858" width="0.75" style="325" customWidth="1"/>
    <col min="11859" max="11859" width="13.75" style="325" customWidth="1"/>
    <col min="11860" max="11863" width="14.375" style="325" customWidth="1"/>
    <col min="11864" max="11864" width="12.875" style="325" customWidth="1"/>
    <col min="11865" max="11865" width="13.75" style="325" customWidth="1"/>
    <col min="11866" max="11866" width="0.75" style="325" customWidth="1"/>
    <col min="11867" max="11867" width="13.75" style="325" customWidth="1"/>
    <col min="11868" max="11871" width="14.375" style="325" customWidth="1"/>
    <col min="11872" max="11872" width="12.875" style="325" customWidth="1"/>
    <col min="11873" max="11873" width="13.75" style="325" customWidth="1"/>
    <col min="11874" max="11874" width="0.75" style="325" customWidth="1"/>
    <col min="11875" max="11875" width="13.75" style="325" customWidth="1"/>
    <col min="11876" max="11879" width="14.375" style="325" customWidth="1"/>
    <col min="11880" max="11880" width="12.875" style="325" customWidth="1"/>
    <col min="11881" max="11881" width="13.75" style="325" customWidth="1"/>
    <col min="11882" max="11882" width="17.5" style="325" customWidth="1"/>
    <col min="11883"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3.75" style="325" customWidth="1"/>
    <col min="12042" max="12042" width="0.75" style="325" customWidth="1"/>
    <col min="12043" max="12043" width="13.75" style="325" customWidth="1"/>
    <col min="12044" max="12047" width="14.375" style="325" customWidth="1"/>
    <col min="12048" max="12048" width="12.875" style="325" customWidth="1"/>
    <col min="12049" max="12049" width="13.75" style="325" customWidth="1"/>
    <col min="12050" max="12050" width="0.75" style="325" customWidth="1"/>
    <col min="12051" max="12051" width="13.75" style="325" customWidth="1"/>
    <col min="12052" max="12055" width="14.375" style="325" customWidth="1"/>
    <col min="12056" max="12056" width="12.875" style="325" customWidth="1"/>
    <col min="12057" max="12057" width="13.75" style="325" customWidth="1"/>
    <col min="12058" max="12058" width="0.75" style="325" customWidth="1"/>
    <col min="12059" max="12059" width="13.75" style="325" customWidth="1"/>
    <col min="12060" max="12063" width="14.375" style="325" customWidth="1"/>
    <col min="12064" max="12064" width="12.875" style="325" customWidth="1"/>
    <col min="12065" max="12065" width="13.75" style="325" customWidth="1"/>
    <col min="12066" max="12066" width="0.75" style="325" customWidth="1"/>
    <col min="12067" max="12067" width="13.75" style="325" customWidth="1"/>
    <col min="12068" max="12071" width="14.375" style="325" customWidth="1"/>
    <col min="12072" max="12072" width="12.875" style="325" customWidth="1"/>
    <col min="12073" max="12073" width="13.75" style="325" customWidth="1"/>
    <col min="12074" max="12074" width="0.75" style="325" customWidth="1"/>
    <col min="12075" max="12075" width="13.75" style="325" customWidth="1"/>
    <col min="12076" max="12079" width="14.375" style="325" customWidth="1"/>
    <col min="12080" max="12080" width="12.875" style="325" customWidth="1"/>
    <col min="12081" max="12081" width="13.75" style="325" customWidth="1"/>
    <col min="12082" max="12082" width="0.75" style="325" customWidth="1"/>
    <col min="12083" max="12083" width="13.75" style="325" customWidth="1"/>
    <col min="12084" max="12087" width="14.375" style="325" customWidth="1"/>
    <col min="12088" max="12088" width="12.875" style="325" customWidth="1"/>
    <col min="12089" max="12089" width="13.75" style="325" customWidth="1"/>
    <col min="12090" max="12090" width="0.75" style="325" customWidth="1"/>
    <col min="12091" max="12091" width="13.75" style="325" customWidth="1"/>
    <col min="12092" max="12095" width="14.375" style="325" customWidth="1"/>
    <col min="12096" max="12096" width="12.875" style="325" customWidth="1"/>
    <col min="12097" max="12097" width="13.75" style="325" customWidth="1"/>
    <col min="12098" max="12098" width="0.75" style="325" customWidth="1"/>
    <col min="12099" max="12099" width="13.75" style="325" customWidth="1"/>
    <col min="12100" max="12103" width="14.375" style="325" customWidth="1"/>
    <col min="12104" max="12104" width="12.875" style="325" customWidth="1"/>
    <col min="12105" max="12105" width="13.75" style="325" customWidth="1"/>
    <col min="12106" max="12106" width="0.75" style="325" customWidth="1"/>
    <col min="12107" max="12107" width="13.75" style="325" customWidth="1"/>
    <col min="12108" max="12111" width="14.375" style="325" customWidth="1"/>
    <col min="12112" max="12112" width="12.875" style="325" customWidth="1"/>
    <col min="12113" max="12113" width="13.75" style="325" customWidth="1"/>
    <col min="12114" max="12114" width="0.75" style="325" customWidth="1"/>
    <col min="12115" max="12115" width="13.75" style="325" customWidth="1"/>
    <col min="12116" max="12119" width="14.375" style="325" customWidth="1"/>
    <col min="12120" max="12120" width="12.875" style="325" customWidth="1"/>
    <col min="12121" max="12121" width="13.75" style="325" customWidth="1"/>
    <col min="12122" max="12122" width="0.75" style="325" customWidth="1"/>
    <col min="12123" max="12123" width="13.75" style="325" customWidth="1"/>
    <col min="12124" max="12127" width="14.375" style="325" customWidth="1"/>
    <col min="12128" max="12128" width="12.875" style="325" customWidth="1"/>
    <col min="12129" max="12129" width="13.75" style="325" customWidth="1"/>
    <col min="12130" max="12130" width="0.75" style="325" customWidth="1"/>
    <col min="12131" max="12131" width="13.75" style="325" customWidth="1"/>
    <col min="12132" max="12135" width="14.375" style="325" customWidth="1"/>
    <col min="12136" max="12136" width="12.875" style="325" customWidth="1"/>
    <col min="12137" max="12137" width="13.75" style="325" customWidth="1"/>
    <col min="12138" max="12138" width="17.5" style="325" customWidth="1"/>
    <col min="12139"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3.75" style="325" customWidth="1"/>
    <col min="12298" max="12298" width="0.75" style="325" customWidth="1"/>
    <col min="12299" max="12299" width="13.75" style="325" customWidth="1"/>
    <col min="12300" max="12303" width="14.375" style="325" customWidth="1"/>
    <col min="12304" max="12304" width="12.875" style="325" customWidth="1"/>
    <col min="12305" max="12305" width="13.75" style="325" customWidth="1"/>
    <col min="12306" max="12306" width="0.75" style="325" customWidth="1"/>
    <col min="12307" max="12307" width="13.75" style="325" customWidth="1"/>
    <col min="12308" max="12311" width="14.375" style="325" customWidth="1"/>
    <col min="12312" max="12312" width="12.875" style="325" customWidth="1"/>
    <col min="12313" max="12313" width="13.75" style="325" customWidth="1"/>
    <col min="12314" max="12314" width="0.75" style="325" customWidth="1"/>
    <col min="12315" max="12315" width="13.75" style="325" customWidth="1"/>
    <col min="12316" max="12319" width="14.375" style="325" customWidth="1"/>
    <col min="12320" max="12320" width="12.875" style="325" customWidth="1"/>
    <col min="12321" max="12321" width="13.75" style="325" customWidth="1"/>
    <col min="12322" max="12322" width="0.75" style="325" customWidth="1"/>
    <col min="12323" max="12323" width="13.75" style="325" customWidth="1"/>
    <col min="12324" max="12327" width="14.375" style="325" customWidth="1"/>
    <col min="12328" max="12328" width="12.875" style="325" customWidth="1"/>
    <col min="12329" max="12329" width="13.75" style="325" customWidth="1"/>
    <col min="12330" max="12330" width="0.75" style="325" customWidth="1"/>
    <col min="12331" max="12331" width="13.75" style="325" customWidth="1"/>
    <col min="12332" max="12335" width="14.375" style="325" customWidth="1"/>
    <col min="12336" max="12336" width="12.875" style="325" customWidth="1"/>
    <col min="12337" max="12337" width="13.75" style="325" customWidth="1"/>
    <col min="12338" max="12338" width="0.75" style="325" customWidth="1"/>
    <col min="12339" max="12339" width="13.75" style="325" customWidth="1"/>
    <col min="12340" max="12343" width="14.375" style="325" customWidth="1"/>
    <col min="12344" max="12344" width="12.875" style="325" customWidth="1"/>
    <col min="12345" max="12345" width="13.75" style="325" customWidth="1"/>
    <col min="12346" max="12346" width="0.75" style="325" customWidth="1"/>
    <col min="12347" max="12347" width="13.75" style="325" customWidth="1"/>
    <col min="12348" max="12351" width="14.375" style="325" customWidth="1"/>
    <col min="12352" max="12352" width="12.875" style="325" customWidth="1"/>
    <col min="12353" max="12353" width="13.75" style="325" customWidth="1"/>
    <col min="12354" max="12354" width="0.75" style="325" customWidth="1"/>
    <col min="12355" max="12355" width="13.75" style="325" customWidth="1"/>
    <col min="12356" max="12359" width="14.375" style="325" customWidth="1"/>
    <col min="12360" max="12360" width="12.875" style="325" customWidth="1"/>
    <col min="12361" max="12361" width="13.75" style="325" customWidth="1"/>
    <col min="12362" max="12362" width="0.75" style="325" customWidth="1"/>
    <col min="12363" max="12363" width="13.75" style="325" customWidth="1"/>
    <col min="12364" max="12367" width="14.375" style="325" customWidth="1"/>
    <col min="12368" max="12368" width="12.875" style="325" customWidth="1"/>
    <col min="12369" max="12369" width="13.75" style="325" customWidth="1"/>
    <col min="12370" max="12370" width="0.75" style="325" customWidth="1"/>
    <col min="12371" max="12371" width="13.75" style="325" customWidth="1"/>
    <col min="12372" max="12375" width="14.375" style="325" customWidth="1"/>
    <col min="12376" max="12376" width="12.875" style="325" customWidth="1"/>
    <col min="12377" max="12377" width="13.75" style="325" customWidth="1"/>
    <col min="12378" max="12378" width="0.75" style="325" customWidth="1"/>
    <col min="12379" max="12379" width="13.75" style="325" customWidth="1"/>
    <col min="12380" max="12383" width="14.375" style="325" customWidth="1"/>
    <col min="12384" max="12384" width="12.875" style="325" customWidth="1"/>
    <col min="12385" max="12385" width="13.75" style="325" customWidth="1"/>
    <col min="12386" max="12386" width="0.75" style="325" customWidth="1"/>
    <col min="12387" max="12387" width="13.75" style="325" customWidth="1"/>
    <col min="12388" max="12391" width="14.375" style="325" customWidth="1"/>
    <col min="12392" max="12392" width="12.875" style="325" customWidth="1"/>
    <col min="12393" max="12393" width="13.75" style="325" customWidth="1"/>
    <col min="12394" max="12394" width="17.5" style="325" customWidth="1"/>
    <col min="12395"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3.75" style="325" customWidth="1"/>
    <col min="12554" max="12554" width="0.75" style="325" customWidth="1"/>
    <col min="12555" max="12555" width="13.75" style="325" customWidth="1"/>
    <col min="12556" max="12559" width="14.375" style="325" customWidth="1"/>
    <col min="12560" max="12560" width="12.875" style="325" customWidth="1"/>
    <col min="12561" max="12561" width="13.75" style="325" customWidth="1"/>
    <col min="12562" max="12562" width="0.75" style="325" customWidth="1"/>
    <col min="12563" max="12563" width="13.75" style="325" customWidth="1"/>
    <col min="12564" max="12567" width="14.375" style="325" customWidth="1"/>
    <col min="12568" max="12568" width="12.875" style="325" customWidth="1"/>
    <col min="12569" max="12569" width="13.75" style="325" customWidth="1"/>
    <col min="12570" max="12570" width="0.75" style="325" customWidth="1"/>
    <col min="12571" max="12571" width="13.75" style="325" customWidth="1"/>
    <col min="12572" max="12575" width="14.375" style="325" customWidth="1"/>
    <col min="12576" max="12576" width="12.875" style="325" customWidth="1"/>
    <col min="12577" max="12577" width="13.75" style="325" customWidth="1"/>
    <col min="12578" max="12578" width="0.75" style="325" customWidth="1"/>
    <col min="12579" max="12579" width="13.75" style="325" customWidth="1"/>
    <col min="12580" max="12583" width="14.375" style="325" customWidth="1"/>
    <col min="12584" max="12584" width="12.875" style="325" customWidth="1"/>
    <col min="12585" max="12585" width="13.75" style="325" customWidth="1"/>
    <col min="12586" max="12586" width="0.75" style="325" customWidth="1"/>
    <col min="12587" max="12587" width="13.75" style="325" customWidth="1"/>
    <col min="12588" max="12591" width="14.375" style="325" customWidth="1"/>
    <col min="12592" max="12592" width="12.875" style="325" customWidth="1"/>
    <col min="12593" max="12593" width="13.75" style="325" customWidth="1"/>
    <col min="12594" max="12594" width="0.75" style="325" customWidth="1"/>
    <col min="12595" max="12595" width="13.75" style="325" customWidth="1"/>
    <col min="12596" max="12599" width="14.375" style="325" customWidth="1"/>
    <col min="12600" max="12600" width="12.875" style="325" customWidth="1"/>
    <col min="12601" max="12601" width="13.75" style="325" customWidth="1"/>
    <col min="12602" max="12602" width="0.75" style="325" customWidth="1"/>
    <col min="12603" max="12603" width="13.75" style="325" customWidth="1"/>
    <col min="12604" max="12607" width="14.375" style="325" customWidth="1"/>
    <col min="12608" max="12608" width="12.875" style="325" customWidth="1"/>
    <col min="12609" max="12609" width="13.75" style="325" customWidth="1"/>
    <col min="12610" max="12610" width="0.75" style="325" customWidth="1"/>
    <col min="12611" max="12611" width="13.75" style="325" customWidth="1"/>
    <col min="12612" max="12615" width="14.375" style="325" customWidth="1"/>
    <col min="12616" max="12616" width="12.875" style="325" customWidth="1"/>
    <col min="12617" max="12617" width="13.75" style="325" customWidth="1"/>
    <col min="12618" max="12618" width="0.75" style="325" customWidth="1"/>
    <col min="12619" max="12619" width="13.75" style="325" customWidth="1"/>
    <col min="12620" max="12623" width="14.375" style="325" customWidth="1"/>
    <col min="12624" max="12624" width="12.875" style="325" customWidth="1"/>
    <col min="12625" max="12625" width="13.75" style="325" customWidth="1"/>
    <col min="12626" max="12626" width="0.75" style="325" customWidth="1"/>
    <col min="12627" max="12627" width="13.75" style="325" customWidth="1"/>
    <col min="12628" max="12631" width="14.375" style="325" customWidth="1"/>
    <col min="12632" max="12632" width="12.875" style="325" customWidth="1"/>
    <col min="12633" max="12633" width="13.75" style="325" customWidth="1"/>
    <col min="12634" max="12634" width="0.75" style="325" customWidth="1"/>
    <col min="12635" max="12635" width="13.75" style="325" customWidth="1"/>
    <col min="12636" max="12639" width="14.375" style="325" customWidth="1"/>
    <col min="12640" max="12640" width="12.875" style="325" customWidth="1"/>
    <col min="12641" max="12641" width="13.75" style="325" customWidth="1"/>
    <col min="12642" max="12642" width="0.75" style="325" customWidth="1"/>
    <col min="12643" max="12643" width="13.75" style="325" customWidth="1"/>
    <col min="12644" max="12647" width="14.375" style="325" customWidth="1"/>
    <col min="12648" max="12648" width="12.875" style="325" customWidth="1"/>
    <col min="12649" max="12649" width="13.75" style="325" customWidth="1"/>
    <col min="12650" max="12650" width="17.5" style="325" customWidth="1"/>
    <col min="12651"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3.75" style="325" customWidth="1"/>
    <col min="12810" max="12810" width="0.75" style="325" customWidth="1"/>
    <col min="12811" max="12811" width="13.75" style="325" customWidth="1"/>
    <col min="12812" max="12815" width="14.375" style="325" customWidth="1"/>
    <col min="12816" max="12816" width="12.875" style="325" customWidth="1"/>
    <col min="12817" max="12817" width="13.75" style="325" customWidth="1"/>
    <col min="12818" max="12818" width="0.75" style="325" customWidth="1"/>
    <col min="12819" max="12819" width="13.75" style="325" customWidth="1"/>
    <col min="12820" max="12823" width="14.375" style="325" customWidth="1"/>
    <col min="12824" max="12824" width="12.875" style="325" customWidth="1"/>
    <col min="12825" max="12825" width="13.75" style="325" customWidth="1"/>
    <col min="12826" max="12826" width="0.75" style="325" customWidth="1"/>
    <col min="12827" max="12827" width="13.75" style="325" customWidth="1"/>
    <col min="12828" max="12831" width="14.375" style="325" customWidth="1"/>
    <col min="12832" max="12832" width="12.875" style="325" customWidth="1"/>
    <col min="12833" max="12833" width="13.75" style="325" customWidth="1"/>
    <col min="12834" max="12834" width="0.75" style="325" customWidth="1"/>
    <col min="12835" max="12835" width="13.75" style="325" customWidth="1"/>
    <col min="12836" max="12839" width="14.375" style="325" customWidth="1"/>
    <col min="12840" max="12840" width="12.875" style="325" customWidth="1"/>
    <col min="12841" max="12841" width="13.75" style="325" customWidth="1"/>
    <col min="12842" max="12842" width="0.75" style="325" customWidth="1"/>
    <col min="12843" max="12843" width="13.75" style="325" customWidth="1"/>
    <col min="12844" max="12847" width="14.375" style="325" customWidth="1"/>
    <col min="12848" max="12848" width="12.875" style="325" customWidth="1"/>
    <col min="12849" max="12849" width="13.75" style="325" customWidth="1"/>
    <col min="12850" max="12850" width="0.75" style="325" customWidth="1"/>
    <col min="12851" max="12851" width="13.75" style="325" customWidth="1"/>
    <col min="12852" max="12855" width="14.375" style="325" customWidth="1"/>
    <col min="12856" max="12856" width="12.875" style="325" customWidth="1"/>
    <col min="12857" max="12857" width="13.75" style="325" customWidth="1"/>
    <col min="12858" max="12858" width="0.75" style="325" customWidth="1"/>
    <col min="12859" max="12859" width="13.75" style="325" customWidth="1"/>
    <col min="12860" max="12863" width="14.375" style="325" customWidth="1"/>
    <col min="12864" max="12864" width="12.875" style="325" customWidth="1"/>
    <col min="12865" max="12865" width="13.75" style="325" customWidth="1"/>
    <col min="12866" max="12866" width="0.75" style="325" customWidth="1"/>
    <col min="12867" max="12867" width="13.75" style="325" customWidth="1"/>
    <col min="12868" max="12871" width="14.375" style="325" customWidth="1"/>
    <col min="12872" max="12872" width="12.875" style="325" customWidth="1"/>
    <col min="12873" max="12873" width="13.75" style="325" customWidth="1"/>
    <col min="12874" max="12874" width="0.75" style="325" customWidth="1"/>
    <col min="12875" max="12875" width="13.75" style="325" customWidth="1"/>
    <col min="12876" max="12879" width="14.375" style="325" customWidth="1"/>
    <col min="12880" max="12880" width="12.875" style="325" customWidth="1"/>
    <col min="12881" max="12881" width="13.75" style="325" customWidth="1"/>
    <col min="12882" max="12882" width="0.75" style="325" customWidth="1"/>
    <col min="12883" max="12883" width="13.75" style="325" customWidth="1"/>
    <col min="12884" max="12887" width="14.375" style="325" customWidth="1"/>
    <col min="12888" max="12888" width="12.875" style="325" customWidth="1"/>
    <col min="12889" max="12889" width="13.75" style="325" customWidth="1"/>
    <col min="12890" max="12890" width="0.75" style="325" customWidth="1"/>
    <col min="12891" max="12891" width="13.75" style="325" customWidth="1"/>
    <col min="12892" max="12895" width="14.375" style="325" customWidth="1"/>
    <col min="12896" max="12896" width="12.875" style="325" customWidth="1"/>
    <col min="12897" max="12897" width="13.75" style="325" customWidth="1"/>
    <col min="12898" max="12898" width="0.75" style="325" customWidth="1"/>
    <col min="12899" max="12899" width="13.75" style="325" customWidth="1"/>
    <col min="12900" max="12903" width="14.375" style="325" customWidth="1"/>
    <col min="12904" max="12904" width="12.875" style="325" customWidth="1"/>
    <col min="12905" max="12905" width="13.75" style="325" customWidth="1"/>
    <col min="12906" max="12906" width="17.5" style="325" customWidth="1"/>
    <col min="12907"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3.75" style="325" customWidth="1"/>
    <col min="13066" max="13066" width="0.75" style="325" customWidth="1"/>
    <col min="13067" max="13067" width="13.75" style="325" customWidth="1"/>
    <col min="13068" max="13071" width="14.375" style="325" customWidth="1"/>
    <col min="13072" max="13072" width="12.875" style="325" customWidth="1"/>
    <col min="13073" max="13073" width="13.75" style="325" customWidth="1"/>
    <col min="13074" max="13074" width="0.75" style="325" customWidth="1"/>
    <col min="13075" max="13075" width="13.75" style="325" customWidth="1"/>
    <col min="13076" max="13079" width="14.375" style="325" customWidth="1"/>
    <col min="13080" max="13080" width="12.875" style="325" customWidth="1"/>
    <col min="13081" max="13081" width="13.75" style="325" customWidth="1"/>
    <col min="13082" max="13082" width="0.75" style="325" customWidth="1"/>
    <col min="13083" max="13083" width="13.75" style="325" customWidth="1"/>
    <col min="13084" max="13087" width="14.375" style="325" customWidth="1"/>
    <col min="13088" max="13088" width="12.875" style="325" customWidth="1"/>
    <col min="13089" max="13089" width="13.75" style="325" customWidth="1"/>
    <col min="13090" max="13090" width="0.75" style="325" customWidth="1"/>
    <col min="13091" max="13091" width="13.75" style="325" customWidth="1"/>
    <col min="13092" max="13095" width="14.375" style="325" customWidth="1"/>
    <col min="13096" max="13096" width="12.875" style="325" customWidth="1"/>
    <col min="13097" max="13097" width="13.75" style="325" customWidth="1"/>
    <col min="13098" max="13098" width="0.75" style="325" customWidth="1"/>
    <col min="13099" max="13099" width="13.75" style="325" customWidth="1"/>
    <col min="13100" max="13103" width="14.375" style="325" customWidth="1"/>
    <col min="13104" max="13104" width="12.875" style="325" customWidth="1"/>
    <col min="13105" max="13105" width="13.75" style="325" customWidth="1"/>
    <col min="13106" max="13106" width="0.75" style="325" customWidth="1"/>
    <col min="13107" max="13107" width="13.75" style="325" customWidth="1"/>
    <col min="13108" max="13111" width="14.375" style="325" customWidth="1"/>
    <col min="13112" max="13112" width="12.875" style="325" customWidth="1"/>
    <col min="13113" max="13113" width="13.75" style="325" customWidth="1"/>
    <col min="13114" max="13114" width="0.75" style="325" customWidth="1"/>
    <col min="13115" max="13115" width="13.75" style="325" customWidth="1"/>
    <col min="13116" max="13119" width="14.375" style="325" customWidth="1"/>
    <col min="13120" max="13120" width="12.875" style="325" customWidth="1"/>
    <col min="13121" max="13121" width="13.75" style="325" customWidth="1"/>
    <col min="13122" max="13122" width="0.75" style="325" customWidth="1"/>
    <col min="13123" max="13123" width="13.75" style="325" customWidth="1"/>
    <col min="13124" max="13127" width="14.375" style="325" customWidth="1"/>
    <col min="13128" max="13128" width="12.875" style="325" customWidth="1"/>
    <col min="13129" max="13129" width="13.75" style="325" customWidth="1"/>
    <col min="13130" max="13130" width="0.75" style="325" customWidth="1"/>
    <col min="13131" max="13131" width="13.75" style="325" customWidth="1"/>
    <col min="13132" max="13135" width="14.375" style="325" customWidth="1"/>
    <col min="13136" max="13136" width="12.875" style="325" customWidth="1"/>
    <col min="13137" max="13137" width="13.75" style="325" customWidth="1"/>
    <col min="13138" max="13138" width="0.75" style="325" customWidth="1"/>
    <col min="13139" max="13139" width="13.75" style="325" customWidth="1"/>
    <col min="13140" max="13143" width="14.375" style="325" customWidth="1"/>
    <col min="13144" max="13144" width="12.875" style="325" customWidth="1"/>
    <col min="13145" max="13145" width="13.75" style="325" customWidth="1"/>
    <col min="13146" max="13146" width="0.75" style="325" customWidth="1"/>
    <col min="13147" max="13147" width="13.75" style="325" customWidth="1"/>
    <col min="13148" max="13151" width="14.375" style="325" customWidth="1"/>
    <col min="13152" max="13152" width="12.875" style="325" customWidth="1"/>
    <col min="13153" max="13153" width="13.75" style="325" customWidth="1"/>
    <col min="13154" max="13154" width="0.75" style="325" customWidth="1"/>
    <col min="13155" max="13155" width="13.75" style="325" customWidth="1"/>
    <col min="13156" max="13159" width="14.375" style="325" customWidth="1"/>
    <col min="13160" max="13160" width="12.875" style="325" customWidth="1"/>
    <col min="13161" max="13161" width="13.75" style="325" customWidth="1"/>
    <col min="13162" max="13162" width="17.5" style="325" customWidth="1"/>
    <col min="13163"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3.75" style="325" customWidth="1"/>
    <col min="13322" max="13322" width="0.75" style="325" customWidth="1"/>
    <col min="13323" max="13323" width="13.75" style="325" customWidth="1"/>
    <col min="13324" max="13327" width="14.375" style="325" customWidth="1"/>
    <col min="13328" max="13328" width="12.875" style="325" customWidth="1"/>
    <col min="13329" max="13329" width="13.75" style="325" customWidth="1"/>
    <col min="13330" max="13330" width="0.75" style="325" customWidth="1"/>
    <col min="13331" max="13331" width="13.75" style="325" customWidth="1"/>
    <col min="13332" max="13335" width="14.375" style="325" customWidth="1"/>
    <col min="13336" max="13336" width="12.875" style="325" customWidth="1"/>
    <col min="13337" max="13337" width="13.75" style="325" customWidth="1"/>
    <col min="13338" max="13338" width="0.75" style="325" customWidth="1"/>
    <col min="13339" max="13339" width="13.75" style="325" customWidth="1"/>
    <col min="13340" max="13343" width="14.375" style="325" customWidth="1"/>
    <col min="13344" max="13344" width="12.875" style="325" customWidth="1"/>
    <col min="13345" max="13345" width="13.75" style="325" customWidth="1"/>
    <col min="13346" max="13346" width="0.75" style="325" customWidth="1"/>
    <col min="13347" max="13347" width="13.75" style="325" customWidth="1"/>
    <col min="13348" max="13351" width="14.375" style="325" customWidth="1"/>
    <col min="13352" max="13352" width="12.875" style="325" customWidth="1"/>
    <col min="13353" max="13353" width="13.75" style="325" customWidth="1"/>
    <col min="13354" max="13354" width="0.75" style="325" customWidth="1"/>
    <col min="13355" max="13355" width="13.75" style="325" customWidth="1"/>
    <col min="13356" max="13359" width="14.375" style="325" customWidth="1"/>
    <col min="13360" max="13360" width="12.875" style="325" customWidth="1"/>
    <col min="13361" max="13361" width="13.75" style="325" customWidth="1"/>
    <col min="13362" max="13362" width="0.75" style="325" customWidth="1"/>
    <col min="13363" max="13363" width="13.75" style="325" customWidth="1"/>
    <col min="13364" max="13367" width="14.375" style="325" customWidth="1"/>
    <col min="13368" max="13368" width="12.875" style="325" customWidth="1"/>
    <col min="13369" max="13369" width="13.75" style="325" customWidth="1"/>
    <col min="13370" max="13370" width="0.75" style="325" customWidth="1"/>
    <col min="13371" max="13371" width="13.75" style="325" customWidth="1"/>
    <col min="13372" max="13375" width="14.375" style="325" customWidth="1"/>
    <col min="13376" max="13376" width="12.875" style="325" customWidth="1"/>
    <col min="13377" max="13377" width="13.75" style="325" customWidth="1"/>
    <col min="13378" max="13378" width="0.75" style="325" customWidth="1"/>
    <col min="13379" max="13379" width="13.75" style="325" customWidth="1"/>
    <col min="13380" max="13383" width="14.375" style="325" customWidth="1"/>
    <col min="13384" max="13384" width="12.875" style="325" customWidth="1"/>
    <col min="13385" max="13385" width="13.75" style="325" customWidth="1"/>
    <col min="13386" max="13386" width="0.75" style="325" customWidth="1"/>
    <col min="13387" max="13387" width="13.75" style="325" customWidth="1"/>
    <col min="13388" max="13391" width="14.375" style="325" customWidth="1"/>
    <col min="13392" max="13392" width="12.875" style="325" customWidth="1"/>
    <col min="13393" max="13393" width="13.75" style="325" customWidth="1"/>
    <col min="13394" max="13394" width="0.75" style="325" customWidth="1"/>
    <col min="13395" max="13395" width="13.75" style="325" customWidth="1"/>
    <col min="13396" max="13399" width="14.375" style="325" customWidth="1"/>
    <col min="13400" max="13400" width="12.875" style="325" customWidth="1"/>
    <col min="13401" max="13401" width="13.75" style="325" customWidth="1"/>
    <col min="13402" max="13402" width="0.75" style="325" customWidth="1"/>
    <col min="13403" max="13403" width="13.75" style="325" customWidth="1"/>
    <col min="13404" max="13407" width="14.375" style="325" customWidth="1"/>
    <col min="13408" max="13408" width="12.875" style="325" customWidth="1"/>
    <col min="13409" max="13409" width="13.75" style="325" customWidth="1"/>
    <col min="13410" max="13410" width="0.75" style="325" customWidth="1"/>
    <col min="13411" max="13411" width="13.75" style="325" customWidth="1"/>
    <col min="13412" max="13415" width="14.375" style="325" customWidth="1"/>
    <col min="13416" max="13416" width="12.875" style="325" customWidth="1"/>
    <col min="13417" max="13417" width="13.75" style="325" customWidth="1"/>
    <col min="13418" max="13418" width="17.5" style="325" customWidth="1"/>
    <col min="13419"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3.75" style="325" customWidth="1"/>
    <col min="13578" max="13578" width="0.75" style="325" customWidth="1"/>
    <col min="13579" max="13579" width="13.75" style="325" customWidth="1"/>
    <col min="13580" max="13583" width="14.375" style="325" customWidth="1"/>
    <col min="13584" max="13584" width="12.875" style="325" customWidth="1"/>
    <col min="13585" max="13585" width="13.75" style="325" customWidth="1"/>
    <col min="13586" max="13586" width="0.75" style="325" customWidth="1"/>
    <col min="13587" max="13587" width="13.75" style="325" customWidth="1"/>
    <col min="13588" max="13591" width="14.375" style="325" customWidth="1"/>
    <col min="13592" max="13592" width="12.875" style="325" customWidth="1"/>
    <col min="13593" max="13593" width="13.75" style="325" customWidth="1"/>
    <col min="13594" max="13594" width="0.75" style="325" customWidth="1"/>
    <col min="13595" max="13595" width="13.75" style="325" customWidth="1"/>
    <col min="13596" max="13599" width="14.375" style="325" customWidth="1"/>
    <col min="13600" max="13600" width="12.875" style="325" customWidth="1"/>
    <col min="13601" max="13601" width="13.75" style="325" customWidth="1"/>
    <col min="13602" max="13602" width="0.75" style="325" customWidth="1"/>
    <col min="13603" max="13603" width="13.75" style="325" customWidth="1"/>
    <col min="13604" max="13607" width="14.375" style="325" customWidth="1"/>
    <col min="13608" max="13608" width="12.875" style="325" customWidth="1"/>
    <col min="13609" max="13609" width="13.75" style="325" customWidth="1"/>
    <col min="13610" max="13610" width="0.75" style="325" customWidth="1"/>
    <col min="13611" max="13611" width="13.75" style="325" customWidth="1"/>
    <col min="13612" max="13615" width="14.375" style="325" customWidth="1"/>
    <col min="13616" max="13616" width="12.875" style="325" customWidth="1"/>
    <col min="13617" max="13617" width="13.75" style="325" customWidth="1"/>
    <col min="13618" max="13618" width="0.75" style="325" customWidth="1"/>
    <col min="13619" max="13619" width="13.75" style="325" customWidth="1"/>
    <col min="13620" max="13623" width="14.375" style="325" customWidth="1"/>
    <col min="13624" max="13624" width="12.875" style="325" customWidth="1"/>
    <col min="13625" max="13625" width="13.75" style="325" customWidth="1"/>
    <col min="13626" max="13626" width="0.75" style="325" customWidth="1"/>
    <col min="13627" max="13627" width="13.75" style="325" customWidth="1"/>
    <col min="13628" max="13631" width="14.375" style="325" customWidth="1"/>
    <col min="13632" max="13632" width="12.875" style="325" customWidth="1"/>
    <col min="13633" max="13633" width="13.75" style="325" customWidth="1"/>
    <col min="13634" max="13634" width="0.75" style="325" customWidth="1"/>
    <col min="13635" max="13635" width="13.75" style="325" customWidth="1"/>
    <col min="13636" max="13639" width="14.375" style="325" customWidth="1"/>
    <col min="13640" max="13640" width="12.875" style="325" customWidth="1"/>
    <col min="13641" max="13641" width="13.75" style="325" customWidth="1"/>
    <col min="13642" max="13642" width="0.75" style="325" customWidth="1"/>
    <col min="13643" max="13643" width="13.75" style="325" customWidth="1"/>
    <col min="13644" max="13647" width="14.375" style="325" customWidth="1"/>
    <col min="13648" max="13648" width="12.875" style="325" customWidth="1"/>
    <col min="13649" max="13649" width="13.75" style="325" customWidth="1"/>
    <col min="13650" max="13650" width="0.75" style="325" customWidth="1"/>
    <col min="13651" max="13651" width="13.75" style="325" customWidth="1"/>
    <col min="13652" max="13655" width="14.375" style="325" customWidth="1"/>
    <col min="13656" max="13656" width="12.875" style="325" customWidth="1"/>
    <col min="13657" max="13657" width="13.75" style="325" customWidth="1"/>
    <col min="13658" max="13658" width="0.75" style="325" customWidth="1"/>
    <col min="13659" max="13659" width="13.75" style="325" customWidth="1"/>
    <col min="13660" max="13663" width="14.375" style="325" customWidth="1"/>
    <col min="13664" max="13664" width="12.875" style="325" customWidth="1"/>
    <col min="13665" max="13665" width="13.75" style="325" customWidth="1"/>
    <col min="13666" max="13666" width="0.75" style="325" customWidth="1"/>
    <col min="13667" max="13667" width="13.75" style="325" customWidth="1"/>
    <col min="13668" max="13671" width="14.375" style="325" customWidth="1"/>
    <col min="13672" max="13672" width="12.875" style="325" customWidth="1"/>
    <col min="13673" max="13673" width="13.75" style="325" customWidth="1"/>
    <col min="13674" max="13674" width="17.5" style="325" customWidth="1"/>
    <col min="13675"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3.75" style="325" customWidth="1"/>
    <col min="13834" max="13834" width="0.75" style="325" customWidth="1"/>
    <col min="13835" max="13835" width="13.75" style="325" customWidth="1"/>
    <col min="13836" max="13839" width="14.375" style="325" customWidth="1"/>
    <col min="13840" max="13840" width="12.875" style="325" customWidth="1"/>
    <col min="13841" max="13841" width="13.75" style="325" customWidth="1"/>
    <col min="13842" max="13842" width="0.75" style="325" customWidth="1"/>
    <col min="13843" max="13843" width="13.75" style="325" customWidth="1"/>
    <col min="13844" max="13847" width="14.375" style="325" customWidth="1"/>
    <col min="13848" max="13848" width="12.875" style="325" customWidth="1"/>
    <col min="13849" max="13849" width="13.75" style="325" customWidth="1"/>
    <col min="13850" max="13850" width="0.75" style="325" customWidth="1"/>
    <col min="13851" max="13851" width="13.75" style="325" customWidth="1"/>
    <col min="13852" max="13855" width="14.375" style="325" customWidth="1"/>
    <col min="13856" max="13856" width="12.875" style="325" customWidth="1"/>
    <col min="13857" max="13857" width="13.75" style="325" customWidth="1"/>
    <col min="13858" max="13858" width="0.75" style="325" customWidth="1"/>
    <col min="13859" max="13859" width="13.75" style="325" customWidth="1"/>
    <col min="13860" max="13863" width="14.375" style="325" customWidth="1"/>
    <col min="13864" max="13864" width="12.875" style="325" customWidth="1"/>
    <col min="13865" max="13865" width="13.75" style="325" customWidth="1"/>
    <col min="13866" max="13866" width="0.75" style="325" customWidth="1"/>
    <col min="13867" max="13867" width="13.75" style="325" customWidth="1"/>
    <col min="13868" max="13871" width="14.375" style="325" customWidth="1"/>
    <col min="13872" max="13872" width="12.875" style="325" customWidth="1"/>
    <col min="13873" max="13873" width="13.75" style="325" customWidth="1"/>
    <col min="13874" max="13874" width="0.75" style="325" customWidth="1"/>
    <col min="13875" max="13875" width="13.75" style="325" customWidth="1"/>
    <col min="13876" max="13879" width="14.375" style="325" customWidth="1"/>
    <col min="13880" max="13880" width="12.875" style="325" customWidth="1"/>
    <col min="13881" max="13881" width="13.75" style="325" customWidth="1"/>
    <col min="13882" max="13882" width="0.75" style="325" customWidth="1"/>
    <col min="13883" max="13883" width="13.75" style="325" customWidth="1"/>
    <col min="13884" max="13887" width="14.375" style="325" customWidth="1"/>
    <col min="13888" max="13888" width="12.875" style="325" customWidth="1"/>
    <col min="13889" max="13889" width="13.75" style="325" customWidth="1"/>
    <col min="13890" max="13890" width="0.75" style="325" customWidth="1"/>
    <col min="13891" max="13891" width="13.75" style="325" customWidth="1"/>
    <col min="13892" max="13895" width="14.375" style="325" customWidth="1"/>
    <col min="13896" max="13896" width="12.875" style="325" customWidth="1"/>
    <col min="13897" max="13897" width="13.75" style="325" customWidth="1"/>
    <col min="13898" max="13898" width="0.75" style="325" customWidth="1"/>
    <col min="13899" max="13899" width="13.75" style="325" customWidth="1"/>
    <col min="13900" max="13903" width="14.375" style="325" customWidth="1"/>
    <col min="13904" max="13904" width="12.875" style="325" customWidth="1"/>
    <col min="13905" max="13905" width="13.75" style="325" customWidth="1"/>
    <col min="13906" max="13906" width="0.75" style="325" customWidth="1"/>
    <col min="13907" max="13907" width="13.75" style="325" customWidth="1"/>
    <col min="13908" max="13911" width="14.375" style="325" customWidth="1"/>
    <col min="13912" max="13912" width="12.875" style="325" customWidth="1"/>
    <col min="13913" max="13913" width="13.75" style="325" customWidth="1"/>
    <col min="13914" max="13914" width="0.75" style="325" customWidth="1"/>
    <col min="13915" max="13915" width="13.75" style="325" customWidth="1"/>
    <col min="13916" max="13919" width="14.375" style="325" customWidth="1"/>
    <col min="13920" max="13920" width="12.875" style="325" customWidth="1"/>
    <col min="13921" max="13921" width="13.75" style="325" customWidth="1"/>
    <col min="13922" max="13922" width="0.75" style="325" customWidth="1"/>
    <col min="13923" max="13923" width="13.75" style="325" customWidth="1"/>
    <col min="13924" max="13927" width="14.375" style="325" customWidth="1"/>
    <col min="13928" max="13928" width="12.875" style="325" customWidth="1"/>
    <col min="13929" max="13929" width="13.75" style="325" customWidth="1"/>
    <col min="13930" max="13930" width="17.5" style="325" customWidth="1"/>
    <col min="13931"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3.75" style="325" customWidth="1"/>
    <col min="14090" max="14090" width="0.75" style="325" customWidth="1"/>
    <col min="14091" max="14091" width="13.75" style="325" customWidth="1"/>
    <col min="14092" max="14095" width="14.375" style="325" customWidth="1"/>
    <col min="14096" max="14096" width="12.875" style="325" customWidth="1"/>
    <col min="14097" max="14097" width="13.75" style="325" customWidth="1"/>
    <col min="14098" max="14098" width="0.75" style="325" customWidth="1"/>
    <col min="14099" max="14099" width="13.75" style="325" customWidth="1"/>
    <col min="14100" max="14103" width="14.375" style="325" customWidth="1"/>
    <col min="14104" max="14104" width="12.875" style="325" customWidth="1"/>
    <col min="14105" max="14105" width="13.75" style="325" customWidth="1"/>
    <col min="14106" max="14106" width="0.75" style="325" customWidth="1"/>
    <col min="14107" max="14107" width="13.75" style="325" customWidth="1"/>
    <col min="14108" max="14111" width="14.375" style="325" customWidth="1"/>
    <col min="14112" max="14112" width="12.875" style="325" customWidth="1"/>
    <col min="14113" max="14113" width="13.75" style="325" customWidth="1"/>
    <col min="14114" max="14114" width="0.75" style="325" customWidth="1"/>
    <col min="14115" max="14115" width="13.75" style="325" customWidth="1"/>
    <col min="14116" max="14119" width="14.375" style="325" customWidth="1"/>
    <col min="14120" max="14120" width="12.875" style="325" customWidth="1"/>
    <col min="14121" max="14121" width="13.75" style="325" customWidth="1"/>
    <col min="14122" max="14122" width="0.75" style="325" customWidth="1"/>
    <col min="14123" max="14123" width="13.75" style="325" customWidth="1"/>
    <col min="14124" max="14127" width="14.375" style="325" customWidth="1"/>
    <col min="14128" max="14128" width="12.875" style="325" customWidth="1"/>
    <col min="14129" max="14129" width="13.75" style="325" customWidth="1"/>
    <col min="14130" max="14130" width="0.75" style="325" customWidth="1"/>
    <col min="14131" max="14131" width="13.75" style="325" customWidth="1"/>
    <col min="14132" max="14135" width="14.375" style="325" customWidth="1"/>
    <col min="14136" max="14136" width="12.875" style="325" customWidth="1"/>
    <col min="14137" max="14137" width="13.75" style="325" customWidth="1"/>
    <col min="14138" max="14138" width="0.75" style="325" customWidth="1"/>
    <col min="14139" max="14139" width="13.75" style="325" customWidth="1"/>
    <col min="14140" max="14143" width="14.375" style="325" customWidth="1"/>
    <col min="14144" max="14144" width="12.875" style="325" customWidth="1"/>
    <col min="14145" max="14145" width="13.75" style="325" customWidth="1"/>
    <col min="14146" max="14146" width="0.75" style="325" customWidth="1"/>
    <col min="14147" max="14147" width="13.75" style="325" customWidth="1"/>
    <col min="14148" max="14151" width="14.375" style="325" customWidth="1"/>
    <col min="14152" max="14152" width="12.875" style="325" customWidth="1"/>
    <col min="14153" max="14153" width="13.75" style="325" customWidth="1"/>
    <col min="14154" max="14154" width="0.75" style="325" customWidth="1"/>
    <col min="14155" max="14155" width="13.75" style="325" customWidth="1"/>
    <col min="14156" max="14159" width="14.375" style="325" customWidth="1"/>
    <col min="14160" max="14160" width="12.875" style="325" customWidth="1"/>
    <col min="14161" max="14161" width="13.75" style="325" customWidth="1"/>
    <col min="14162" max="14162" width="0.75" style="325" customWidth="1"/>
    <col min="14163" max="14163" width="13.75" style="325" customWidth="1"/>
    <col min="14164" max="14167" width="14.375" style="325" customWidth="1"/>
    <col min="14168" max="14168" width="12.875" style="325" customWidth="1"/>
    <col min="14169" max="14169" width="13.75" style="325" customWidth="1"/>
    <col min="14170" max="14170" width="0.75" style="325" customWidth="1"/>
    <col min="14171" max="14171" width="13.75" style="325" customWidth="1"/>
    <col min="14172" max="14175" width="14.375" style="325" customWidth="1"/>
    <col min="14176" max="14176" width="12.875" style="325" customWidth="1"/>
    <col min="14177" max="14177" width="13.75" style="325" customWidth="1"/>
    <col min="14178" max="14178" width="0.75" style="325" customWidth="1"/>
    <col min="14179" max="14179" width="13.75" style="325" customWidth="1"/>
    <col min="14180" max="14183" width="14.375" style="325" customWidth="1"/>
    <col min="14184" max="14184" width="12.875" style="325" customWidth="1"/>
    <col min="14185" max="14185" width="13.75" style="325" customWidth="1"/>
    <col min="14186" max="14186" width="17.5" style="325" customWidth="1"/>
    <col min="14187"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3.75" style="325" customWidth="1"/>
    <col min="14346" max="14346" width="0.75" style="325" customWidth="1"/>
    <col min="14347" max="14347" width="13.75" style="325" customWidth="1"/>
    <col min="14348" max="14351" width="14.375" style="325" customWidth="1"/>
    <col min="14352" max="14352" width="12.875" style="325" customWidth="1"/>
    <col min="14353" max="14353" width="13.75" style="325" customWidth="1"/>
    <col min="14354" max="14354" width="0.75" style="325" customWidth="1"/>
    <col min="14355" max="14355" width="13.75" style="325" customWidth="1"/>
    <col min="14356" max="14359" width="14.375" style="325" customWidth="1"/>
    <col min="14360" max="14360" width="12.875" style="325" customWidth="1"/>
    <col min="14361" max="14361" width="13.75" style="325" customWidth="1"/>
    <col min="14362" max="14362" width="0.75" style="325" customWidth="1"/>
    <col min="14363" max="14363" width="13.75" style="325" customWidth="1"/>
    <col min="14364" max="14367" width="14.375" style="325" customWidth="1"/>
    <col min="14368" max="14368" width="12.875" style="325" customWidth="1"/>
    <col min="14369" max="14369" width="13.75" style="325" customWidth="1"/>
    <col min="14370" max="14370" width="0.75" style="325" customWidth="1"/>
    <col min="14371" max="14371" width="13.75" style="325" customWidth="1"/>
    <col min="14372" max="14375" width="14.375" style="325" customWidth="1"/>
    <col min="14376" max="14376" width="12.875" style="325" customWidth="1"/>
    <col min="14377" max="14377" width="13.75" style="325" customWidth="1"/>
    <col min="14378" max="14378" width="0.75" style="325" customWidth="1"/>
    <col min="14379" max="14379" width="13.75" style="325" customWidth="1"/>
    <col min="14380" max="14383" width="14.375" style="325" customWidth="1"/>
    <col min="14384" max="14384" width="12.875" style="325" customWidth="1"/>
    <col min="14385" max="14385" width="13.75" style="325" customWidth="1"/>
    <col min="14386" max="14386" width="0.75" style="325" customWidth="1"/>
    <col min="14387" max="14387" width="13.75" style="325" customWidth="1"/>
    <col min="14388" max="14391" width="14.375" style="325" customWidth="1"/>
    <col min="14392" max="14392" width="12.875" style="325" customWidth="1"/>
    <col min="14393" max="14393" width="13.75" style="325" customWidth="1"/>
    <col min="14394" max="14394" width="0.75" style="325" customWidth="1"/>
    <col min="14395" max="14395" width="13.75" style="325" customWidth="1"/>
    <col min="14396" max="14399" width="14.375" style="325" customWidth="1"/>
    <col min="14400" max="14400" width="12.875" style="325" customWidth="1"/>
    <col min="14401" max="14401" width="13.75" style="325" customWidth="1"/>
    <col min="14402" max="14402" width="0.75" style="325" customWidth="1"/>
    <col min="14403" max="14403" width="13.75" style="325" customWidth="1"/>
    <col min="14404" max="14407" width="14.375" style="325" customWidth="1"/>
    <col min="14408" max="14408" width="12.875" style="325" customWidth="1"/>
    <col min="14409" max="14409" width="13.75" style="325" customWidth="1"/>
    <col min="14410" max="14410" width="0.75" style="325" customWidth="1"/>
    <col min="14411" max="14411" width="13.75" style="325" customWidth="1"/>
    <col min="14412" max="14415" width="14.375" style="325" customWidth="1"/>
    <col min="14416" max="14416" width="12.875" style="325" customWidth="1"/>
    <col min="14417" max="14417" width="13.75" style="325" customWidth="1"/>
    <col min="14418" max="14418" width="0.75" style="325" customWidth="1"/>
    <col min="14419" max="14419" width="13.75" style="325" customWidth="1"/>
    <col min="14420" max="14423" width="14.375" style="325" customWidth="1"/>
    <col min="14424" max="14424" width="12.875" style="325" customWidth="1"/>
    <col min="14425" max="14425" width="13.75" style="325" customWidth="1"/>
    <col min="14426" max="14426" width="0.75" style="325" customWidth="1"/>
    <col min="14427" max="14427" width="13.75" style="325" customWidth="1"/>
    <col min="14428" max="14431" width="14.375" style="325" customWidth="1"/>
    <col min="14432" max="14432" width="12.875" style="325" customWidth="1"/>
    <col min="14433" max="14433" width="13.75" style="325" customWidth="1"/>
    <col min="14434" max="14434" width="0.75" style="325" customWidth="1"/>
    <col min="14435" max="14435" width="13.75" style="325" customWidth="1"/>
    <col min="14436" max="14439" width="14.375" style="325" customWidth="1"/>
    <col min="14440" max="14440" width="12.875" style="325" customWidth="1"/>
    <col min="14441" max="14441" width="13.75" style="325" customWidth="1"/>
    <col min="14442" max="14442" width="17.5" style="325" customWidth="1"/>
    <col min="14443"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3.75" style="325" customWidth="1"/>
    <col min="14602" max="14602" width="0.75" style="325" customWidth="1"/>
    <col min="14603" max="14603" width="13.75" style="325" customWidth="1"/>
    <col min="14604" max="14607" width="14.375" style="325" customWidth="1"/>
    <col min="14608" max="14608" width="12.875" style="325" customWidth="1"/>
    <col min="14609" max="14609" width="13.75" style="325" customWidth="1"/>
    <col min="14610" max="14610" width="0.75" style="325" customWidth="1"/>
    <col min="14611" max="14611" width="13.75" style="325" customWidth="1"/>
    <col min="14612" max="14615" width="14.375" style="325" customWidth="1"/>
    <col min="14616" max="14616" width="12.875" style="325" customWidth="1"/>
    <col min="14617" max="14617" width="13.75" style="325" customWidth="1"/>
    <col min="14618" max="14618" width="0.75" style="325" customWidth="1"/>
    <col min="14619" max="14619" width="13.75" style="325" customWidth="1"/>
    <col min="14620" max="14623" width="14.375" style="325" customWidth="1"/>
    <col min="14624" max="14624" width="12.875" style="325" customWidth="1"/>
    <col min="14625" max="14625" width="13.75" style="325" customWidth="1"/>
    <col min="14626" max="14626" width="0.75" style="325" customWidth="1"/>
    <col min="14627" max="14627" width="13.75" style="325" customWidth="1"/>
    <col min="14628" max="14631" width="14.375" style="325" customWidth="1"/>
    <col min="14632" max="14632" width="12.875" style="325" customWidth="1"/>
    <col min="14633" max="14633" width="13.75" style="325" customWidth="1"/>
    <col min="14634" max="14634" width="0.75" style="325" customWidth="1"/>
    <col min="14635" max="14635" width="13.75" style="325" customWidth="1"/>
    <col min="14636" max="14639" width="14.375" style="325" customWidth="1"/>
    <col min="14640" max="14640" width="12.875" style="325" customWidth="1"/>
    <col min="14641" max="14641" width="13.75" style="325" customWidth="1"/>
    <col min="14642" max="14642" width="0.75" style="325" customWidth="1"/>
    <col min="14643" max="14643" width="13.75" style="325" customWidth="1"/>
    <col min="14644" max="14647" width="14.375" style="325" customWidth="1"/>
    <col min="14648" max="14648" width="12.875" style="325" customWidth="1"/>
    <col min="14649" max="14649" width="13.75" style="325" customWidth="1"/>
    <col min="14650" max="14650" width="0.75" style="325" customWidth="1"/>
    <col min="14651" max="14651" width="13.75" style="325" customWidth="1"/>
    <col min="14652" max="14655" width="14.375" style="325" customWidth="1"/>
    <col min="14656" max="14656" width="12.875" style="325" customWidth="1"/>
    <col min="14657" max="14657" width="13.75" style="325" customWidth="1"/>
    <col min="14658" max="14658" width="0.75" style="325" customWidth="1"/>
    <col min="14659" max="14659" width="13.75" style="325" customWidth="1"/>
    <col min="14660" max="14663" width="14.375" style="325" customWidth="1"/>
    <col min="14664" max="14664" width="12.875" style="325" customWidth="1"/>
    <col min="14665" max="14665" width="13.75" style="325" customWidth="1"/>
    <col min="14666" max="14666" width="0.75" style="325" customWidth="1"/>
    <col min="14667" max="14667" width="13.75" style="325" customWidth="1"/>
    <col min="14668" max="14671" width="14.375" style="325" customWidth="1"/>
    <col min="14672" max="14672" width="12.875" style="325" customWidth="1"/>
    <col min="14673" max="14673" width="13.75" style="325" customWidth="1"/>
    <col min="14674" max="14674" width="0.75" style="325" customWidth="1"/>
    <col min="14675" max="14675" width="13.75" style="325" customWidth="1"/>
    <col min="14676" max="14679" width="14.375" style="325" customWidth="1"/>
    <col min="14680" max="14680" width="12.875" style="325" customWidth="1"/>
    <col min="14681" max="14681" width="13.75" style="325" customWidth="1"/>
    <col min="14682" max="14682" width="0.75" style="325" customWidth="1"/>
    <col min="14683" max="14683" width="13.75" style="325" customWidth="1"/>
    <col min="14684" max="14687" width="14.375" style="325" customWidth="1"/>
    <col min="14688" max="14688" width="12.875" style="325" customWidth="1"/>
    <col min="14689" max="14689" width="13.75" style="325" customWidth="1"/>
    <col min="14690" max="14690" width="0.75" style="325" customWidth="1"/>
    <col min="14691" max="14691" width="13.75" style="325" customWidth="1"/>
    <col min="14692" max="14695" width="14.375" style="325" customWidth="1"/>
    <col min="14696" max="14696" width="12.875" style="325" customWidth="1"/>
    <col min="14697" max="14697" width="13.75" style="325" customWidth="1"/>
    <col min="14698" max="14698" width="17.5" style="325" customWidth="1"/>
    <col min="14699"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3.75" style="325" customWidth="1"/>
    <col min="14858" max="14858" width="0.75" style="325" customWidth="1"/>
    <col min="14859" max="14859" width="13.75" style="325" customWidth="1"/>
    <col min="14860" max="14863" width="14.375" style="325" customWidth="1"/>
    <col min="14864" max="14864" width="12.875" style="325" customWidth="1"/>
    <col min="14865" max="14865" width="13.75" style="325" customWidth="1"/>
    <col min="14866" max="14866" width="0.75" style="325" customWidth="1"/>
    <col min="14867" max="14867" width="13.75" style="325" customWidth="1"/>
    <col min="14868" max="14871" width="14.375" style="325" customWidth="1"/>
    <col min="14872" max="14872" width="12.875" style="325" customWidth="1"/>
    <col min="14873" max="14873" width="13.75" style="325" customWidth="1"/>
    <col min="14874" max="14874" width="0.75" style="325" customWidth="1"/>
    <col min="14875" max="14875" width="13.75" style="325" customWidth="1"/>
    <col min="14876" max="14879" width="14.375" style="325" customWidth="1"/>
    <col min="14880" max="14880" width="12.875" style="325" customWidth="1"/>
    <col min="14881" max="14881" width="13.75" style="325" customWidth="1"/>
    <col min="14882" max="14882" width="0.75" style="325" customWidth="1"/>
    <col min="14883" max="14883" width="13.75" style="325" customWidth="1"/>
    <col min="14884" max="14887" width="14.375" style="325" customWidth="1"/>
    <col min="14888" max="14888" width="12.875" style="325" customWidth="1"/>
    <col min="14889" max="14889" width="13.75" style="325" customWidth="1"/>
    <col min="14890" max="14890" width="0.75" style="325" customWidth="1"/>
    <col min="14891" max="14891" width="13.75" style="325" customWidth="1"/>
    <col min="14892" max="14895" width="14.375" style="325" customWidth="1"/>
    <col min="14896" max="14896" width="12.875" style="325" customWidth="1"/>
    <col min="14897" max="14897" width="13.75" style="325" customWidth="1"/>
    <col min="14898" max="14898" width="0.75" style="325" customWidth="1"/>
    <col min="14899" max="14899" width="13.75" style="325" customWidth="1"/>
    <col min="14900" max="14903" width="14.375" style="325" customWidth="1"/>
    <col min="14904" max="14904" width="12.875" style="325" customWidth="1"/>
    <col min="14905" max="14905" width="13.75" style="325" customWidth="1"/>
    <col min="14906" max="14906" width="0.75" style="325" customWidth="1"/>
    <col min="14907" max="14907" width="13.75" style="325" customWidth="1"/>
    <col min="14908" max="14911" width="14.375" style="325" customWidth="1"/>
    <col min="14912" max="14912" width="12.875" style="325" customWidth="1"/>
    <col min="14913" max="14913" width="13.75" style="325" customWidth="1"/>
    <col min="14914" max="14914" width="0.75" style="325" customWidth="1"/>
    <col min="14915" max="14915" width="13.75" style="325" customWidth="1"/>
    <col min="14916" max="14919" width="14.375" style="325" customWidth="1"/>
    <col min="14920" max="14920" width="12.875" style="325" customWidth="1"/>
    <col min="14921" max="14921" width="13.75" style="325" customWidth="1"/>
    <col min="14922" max="14922" width="0.75" style="325" customWidth="1"/>
    <col min="14923" max="14923" width="13.75" style="325" customWidth="1"/>
    <col min="14924" max="14927" width="14.375" style="325" customWidth="1"/>
    <col min="14928" max="14928" width="12.875" style="325" customWidth="1"/>
    <col min="14929" max="14929" width="13.75" style="325" customWidth="1"/>
    <col min="14930" max="14930" width="0.75" style="325" customWidth="1"/>
    <col min="14931" max="14931" width="13.75" style="325" customWidth="1"/>
    <col min="14932" max="14935" width="14.375" style="325" customWidth="1"/>
    <col min="14936" max="14936" width="12.875" style="325" customWidth="1"/>
    <col min="14937" max="14937" width="13.75" style="325" customWidth="1"/>
    <col min="14938" max="14938" width="0.75" style="325" customWidth="1"/>
    <col min="14939" max="14939" width="13.75" style="325" customWidth="1"/>
    <col min="14940" max="14943" width="14.375" style="325" customWidth="1"/>
    <col min="14944" max="14944" width="12.875" style="325" customWidth="1"/>
    <col min="14945" max="14945" width="13.75" style="325" customWidth="1"/>
    <col min="14946" max="14946" width="0.75" style="325" customWidth="1"/>
    <col min="14947" max="14947" width="13.75" style="325" customWidth="1"/>
    <col min="14948" max="14951" width="14.375" style="325" customWidth="1"/>
    <col min="14952" max="14952" width="12.875" style="325" customWidth="1"/>
    <col min="14953" max="14953" width="13.75" style="325" customWidth="1"/>
    <col min="14954" max="14954" width="17.5" style="325" customWidth="1"/>
    <col min="14955"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3.75" style="325" customWidth="1"/>
    <col min="15114" max="15114" width="0.75" style="325" customWidth="1"/>
    <col min="15115" max="15115" width="13.75" style="325" customWidth="1"/>
    <col min="15116" max="15119" width="14.375" style="325" customWidth="1"/>
    <col min="15120" max="15120" width="12.875" style="325" customWidth="1"/>
    <col min="15121" max="15121" width="13.75" style="325" customWidth="1"/>
    <col min="15122" max="15122" width="0.75" style="325" customWidth="1"/>
    <col min="15123" max="15123" width="13.75" style="325" customWidth="1"/>
    <col min="15124" max="15127" width="14.375" style="325" customWidth="1"/>
    <col min="15128" max="15128" width="12.875" style="325" customWidth="1"/>
    <col min="15129" max="15129" width="13.75" style="325" customWidth="1"/>
    <col min="15130" max="15130" width="0.75" style="325" customWidth="1"/>
    <col min="15131" max="15131" width="13.75" style="325" customWidth="1"/>
    <col min="15132" max="15135" width="14.375" style="325" customWidth="1"/>
    <col min="15136" max="15136" width="12.875" style="325" customWidth="1"/>
    <col min="15137" max="15137" width="13.75" style="325" customWidth="1"/>
    <col min="15138" max="15138" width="0.75" style="325" customWidth="1"/>
    <col min="15139" max="15139" width="13.75" style="325" customWidth="1"/>
    <col min="15140" max="15143" width="14.375" style="325" customWidth="1"/>
    <col min="15144" max="15144" width="12.875" style="325" customWidth="1"/>
    <col min="15145" max="15145" width="13.75" style="325" customWidth="1"/>
    <col min="15146" max="15146" width="0.75" style="325" customWidth="1"/>
    <col min="15147" max="15147" width="13.75" style="325" customWidth="1"/>
    <col min="15148" max="15151" width="14.375" style="325" customWidth="1"/>
    <col min="15152" max="15152" width="12.875" style="325" customWidth="1"/>
    <col min="15153" max="15153" width="13.75" style="325" customWidth="1"/>
    <col min="15154" max="15154" width="0.75" style="325" customWidth="1"/>
    <col min="15155" max="15155" width="13.75" style="325" customWidth="1"/>
    <col min="15156" max="15159" width="14.375" style="325" customWidth="1"/>
    <col min="15160" max="15160" width="12.875" style="325" customWidth="1"/>
    <col min="15161" max="15161" width="13.75" style="325" customWidth="1"/>
    <col min="15162" max="15162" width="0.75" style="325" customWidth="1"/>
    <col min="15163" max="15163" width="13.75" style="325" customWidth="1"/>
    <col min="15164" max="15167" width="14.375" style="325" customWidth="1"/>
    <col min="15168" max="15168" width="12.875" style="325" customWidth="1"/>
    <col min="15169" max="15169" width="13.75" style="325" customWidth="1"/>
    <col min="15170" max="15170" width="0.75" style="325" customWidth="1"/>
    <col min="15171" max="15171" width="13.75" style="325" customWidth="1"/>
    <col min="15172" max="15175" width="14.375" style="325" customWidth="1"/>
    <col min="15176" max="15176" width="12.875" style="325" customWidth="1"/>
    <col min="15177" max="15177" width="13.75" style="325" customWidth="1"/>
    <col min="15178" max="15178" width="0.75" style="325" customWidth="1"/>
    <col min="15179" max="15179" width="13.75" style="325" customWidth="1"/>
    <col min="15180" max="15183" width="14.375" style="325" customWidth="1"/>
    <col min="15184" max="15184" width="12.875" style="325" customWidth="1"/>
    <col min="15185" max="15185" width="13.75" style="325" customWidth="1"/>
    <col min="15186" max="15186" width="0.75" style="325" customWidth="1"/>
    <col min="15187" max="15187" width="13.75" style="325" customWidth="1"/>
    <col min="15188" max="15191" width="14.375" style="325" customWidth="1"/>
    <col min="15192" max="15192" width="12.875" style="325" customWidth="1"/>
    <col min="15193" max="15193" width="13.75" style="325" customWidth="1"/>
    <col min="15194" max="15194" width="0.75" style="325" customWidth="1"/>
    <col min="15195" max="15195" width="13.75" style="325" customWidth="1"/>
    <col min="15196" max="15199" width="14.375" style="325" customWidth="1"/>
    <col min="15200" max="15200" width="12.875" style="325" customWidth="1"/>
    <col min="15201" max="15201" width="13.75" style="325" customWidth="1"/>
    <col min="15202" max="15202" width="0.75" style="325" customWidth="1"/>
    <col min="15203" max="15203" width="13.75" style="325" customWidth="1"/>
    <col min="15204" max="15207" width="14.375" style="325" customWidth="1"/>
    <col min="15208" max="15208" width="12.875" style="325" customWidth="1"/>
    <col min="15209" max="15209" width="13.75" style="325" customWidth="1"/>
    <col min="15210" max="15210" width="17.5" style="325" customWidth="1"/>
    <col min="15211"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3.75" style="325" customWidth="1"/>
    <col min="15370" max="15370" width="0.75" style="325" customWidth="1"/>
    <col min="15371" max="15371" width="13.75" style="325" customWidth="1"/>
    <col min="15372" max="15375" width="14.375" style="325" customWidth="1"/>
    <col min="15376" max="15376" width="12.875" style="325" customWidth="1"/>
    <col min="15377" max="15377" width="13.75" style="325" customWidth="1"/>
    <col min="15378" max="15378" width="0.75" style="325" customWidth="1"/>
    <col min="15379" max="15379" width="13.75" style="325" customWidth="1"/>
    <col min="15380" max="15383" width="14.375" style="325" customWidth="1"/>
    <col min="15384" max="15384" width="12.875" style="325" customWidth="1"/>
    <col min="15385" max="15385" width="13.75" style="325" customWidth="1"/>
    <col min="15386" max="15386" width="0.75" style="325" customWidth="1"/>
    <col min="15387" max="15387" width="13.75" style="325" customWidth="1"/>
    <col min="15388" max="15391" width="14.375" style="325" customWidth="1"/>
    <col min="15392" max="15392" width="12.875" style="325" customWidth="1"/>
    <col min="15393" max="15393" width="13.75" style="325" customWidth="1"/>
    <col min="15394" max="15394" width="0.75" style="325" customWidth="1"/>
    <col min="15395" max="15395" width="13.75" style="325" customWidth="1"/>
    <col min="15396" max="15399" width="14.375" style="325" customWidth="1"/>
    <col min="15400" max="15400" width="12.875" style="325" customWidth="1"/>
    <col min="15401" max="15401" width="13.75" style="325" customWidth="1"/>
    <col min="15402" max="15402" width="0.75" style="325" customWidth="1"/>
    <col min="15403" max="15403" width="13.75" style="325" customWidth="1"/>
    <col min="15404" max="15407" width="14.375" style="325" customWidth="1"/>
    <col min="15408" max="15408" width="12.875" style="325" customWidth="1"/>
    <col min="15409" max="15409" width="13.75" style="325" customWidth="1"/>
    <col min="15410" max="15410" width="0.75" style="325" customWidth="1"/>
    <col min="15411" max="15411" width="13.75" style="325" customWidth="1"/>
    <col min="15412" max="15415" width="14.375" style="325" customWidth="1"/>
    <col min="15416" max="15416" width="12.875" style="325" customWidth="1"/>
    <col min="15417" max="15417" width="13.75" style="325" customWidth="1"/>
    <col min="15418" max="15418" width="0.75" style="325" customWidth="1"/>
    <col min="15419" max="15419" width="13.75" style="325" customWidth="1"/>
    <col min="15420" max="15423" width="14.375" style="325" customWidth="1"/>
    <col min="15424" max="15424" width="12.875" style="325" customWidth="1"/>
    <col min="15425" max="15425" width="13.75" style="325" customWidth="1"/>
    <col min="15426" max="15426" width="0.75" style="325" customWidth="1"/>
    <col min="15427" max="15427" width="13.75" style="325" customWidth="1"/>
    <col min="15428" max="15431" width="14.375" style="325" customWidth="1"/>
    <col min="15432" max="15432" width="12.875" style="325" customWidth="1"/>
    <col min="15433" max="15433" width="13.75" style="325" customWidth="1"/>
    <col min="15434" max="15434" width="0.75" style="325" customWidth="1"/>
    <col min="15435" max="15435" width="13.75" style="325" customWidth="1"/>
    <col min="15436" max="15439" width="14.375" style="325" customWidth="1"/>
    <col min="15440" max="15440" width="12.875" style="325" customWidth="1"/>
    <col min="15441" max="15441" width="13.75" style="325" customWidth="1"/>
    <col min="15442" max="15442" width="0.75" style="325" customWidth="1"/>
    <col min="15443" max="15443" width="13.75" style="325" customWidth="1"/>
    <col min="15444" max="15447" width="14.375" style="325" customWidth="1"/>
    <col min="15448" max="15448" width="12.875" style="325" customWidth="1"/>
    <col min="15449" max="15449" width="13.75" style="325" customWidth="1"/>
    <col min="15450" max="15450" width="0.75" style="325" customWidth="1"/>
    <col min="15451" max="15451" width="13.75" style="325" customWidth="1"/>
    <col min="15452" max="15455" width="14.375" style="325" customWidth="1"/>
    <col min="15456" max="15456" width="12.875" style="325" customWidth="1"/>
    <col min="15457" max="15457" width="13.75" style="325" customWidth="1"/>
    <col min="15458" max="15458" width="0.75" style="325" customWidth="1"/>
    <col min="15459" max="15459" width="13.75" style="325" customWidth="1"/>
    <col min="15460" max="15463" width="14.375" style="325" customWidth="1"/>
    <col min="15464" max="15464" width="12.875" style="325" customWidth="1"/>
    <col min="15465" max="15465" width="13.75" style="325" customWidth="1"/>
    <col min="15466" max="15466" width="17.5" style="325" customWidth="1"/>
    <col min="15467"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3.75" style="325" customWidth="1"/>
    <col min="15626" max="15626" width="0.75" style="325" customWidth="1"/>
    <col min="15627" max="15627" width="13.75" style="325" customWidth="1"/>
    <col min="15628" max="15631" width="14.375" style="325" customWidth="1"/>
    <col min="15632" max="15632" width="12.875" style="325" customWidth="1"/>
    <col min="15633" max="15633" width="13.75" style="325" customWidth="1"/>
    <col min="15634" max="15634" width="0.75" style="325" customWidth="1"/>
    <col min="15635" max="15635" width="13.75" style="325" customWidth="1"/>
    <col min="15636" max="15639" width="14.375" style="325" customWidth="1"/>
    <col min="15640" max="15640" width="12.875" style="325" customWidth="1"/>
    <col min="15641" max="15641" width="13.75" style="325" customWidth="1"/>
    <col min="15642" max="15642" width="0.75" style="325" customWidth="1"/>
    <col min="15643" max="15643" width="13.75" style="325" customWidth="1"/>
    <col min="15644" max="15647" width="14.375" style="325" customWidth="1"/>
    <col min="15648" max="15648" width="12.875" style="325" customWidth="1"/>
    <col min="15649" max="15649" width="13.75" style="325" customWidth="1"/>
    <col min="15650" max="15650" width="0.75" style="325" customWidth="1"/>
    <col min="15651" max="15651" width="13.75" style="325" customWidth="1"/>
    <col min="15652" max="15655" width="14.375" style="325" customWidth="1"/>
    <col min="15656" max="15656" width="12.875" style="325" customWidth="1"/>
    <col min="15657" max="15657" width="13.75" style="325" customWidth="1"/>
    <col min="15658" max="15658" width="0.75" style="325" customWidth="1"/>
    <col min="15659" max="15659" width="13.75" style="325" customWidth="1"/>
    <col min="15660" max="15663" width="14.375" style="325" customWidth="1"/>
    <col min="15664" max="15664" width="12.875" style="325" customWidth="1"/>
    <col min="15665" max="15665" width="13.75" style="325" customWidth="1"/>
    <col min="15666" max="15666" width="0.75" style="325" customWidth="1"/>
    <col min="15667" max="15667" width="13.75" style="325" customWidth="1"/>
    <col min="15668" max="15671" width="14.375" style="325" customWidth="1"/>
    <col min="15672" max="15672" width="12.875" style="325" customWidth="1"/>
    <col min="15673" max="15673" width="13.75" style="325" customWidth="1"/>
    <col min="15674" max="15674" width="0.75" style="325" customWidth="1"/>
    <col min="15675" max="15675" width="13.75" style="325" customWidth="1"/>
    <col min="15676" max="15679" width="14.375" style="325" customWidth="1"/>
    <col min="15680" max="15680" width="12.875" style="325" customWidth="1"/>
    <col min="15681" max="15681" width="13.75" style="325" customWidth="1"/>
    <col min="15682" max="15682" width="0.75" style="325" customWidth="1"/>
    <col min="15683" max="15683" width="13.75" style="325" customWidth="1"/>
    <col min="15684" max="15687" width="14.375" style="325" customWidth="1"/>
    <col min="15688" max="15688" width="12.875" style="325" customWidth="1"/>
    <col min="15689" max="15689" width="13.75" style="325" customWidth="1"/>
    <col min="15690" max="15690" width="0.75" style="325" customWidth="1"/>
    <col min="15691" max="15691" width="13.75" style="325" customWidth="1"/>
    <col min="15692" max="15695" width="14.375" style="325" customWidth="1"/>
    <col min="15696" max="15696" width="12.875" style="325" customWidth="1"/>
    <col min="15697" max="15697" width="13.75" style="325" customWidth="1"/>
    <col min="15698" max="15698" width="0.75" style="325" customWidth="1"/>
    <col min="15699" max="15699" width="13.75" style="325" customWidth="1"/>
    <col min="15700" max="15703" width="14.375" style="325" customWidth="1"/>
    <col min="15704" max="15704" width="12.875" style="325" customWidth="1"/>
    <col min="15705" max="15705" width="13.75" style="325" customWidth="1"/>
    <col min="15706" max="15706" width="0.75" style="325" customWidth="1"/>
    <col min="15707" max="15707" width="13.75" style="325" customWidth="1"/>
    <col min="15708" max="15711" width="14.375" style="325" customWidth="1"/>
    <col min="15712" max="15712" width="12.875" style="325" customWidth="1"/>
    <col min="15713" max="15713" width="13.75" style="325" customWidth="1"/>
    <col min="15714" max="15714" width="0.75" style="325" customWidth="1"/>
    <col min="15715" max="15715" width="13.75" style="325" customWidth="1"/>
    <col min="15716" max="15719" width="14.375" style="325" customWidth="1"/>
    <col min="15720" max="15720" width="12.875" style="325" customWidth="1"/>
    <col min="15721" max="15721" width="13.75" style="325" customWidth="1"/>
    <col min="15722" max="15722" width="17.5" style="325" customWidth="1"/>
    <col min="15723"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3.75" style="325" customWidth="1"/>
    <col min="15882" max="15882" width="0.75" style="325" customWidth="1"/>
    <col min="15883" max="15883" width="13.75" style="325" customWidth="1"/>
    <col min="15884" max="15887" width="14.375" style="325" customWidth="1"/>
    <col min="15888" max="15888" width="12.875" style="325" customWidth="1"/>
    <col min="15889" max="15889" width="13.75" style="325" customWidth="1"/>
    <col min="15890" max="15890" width="0.75" style="325" customWidth="1"/>
    <col min="15891" max="15891" width="13.75" style="325" customWidth="1"/>
    <col min="15892" max="15895" width="14.375" style="325" customWidth="1"/>
    <col min="15896" max="15896" width="12.875" style="325" customWidth="1"/>
    <col min="15897" max="15897" width="13.75" style="325" customWidth="1"/>
    <col min="15898" max="15898" width="0.75" style="325" customWidth="1"/>
    <col min="15899" max="15899" width="13.75" style="325" customWidth="1"/>
    <col min="15900" max="15903" width="14.375" style="325" customWidth="1"/>
    <col min="15904" max="15904" width="12.875" style="325" customWidth="1"/>
    <col min="15905" max="15905" width="13.75" style="325" customWidth="1"/>
    <col min="15906" max="15906" width="0.75" style="325" customWidth="1"/>
    <col min="15907" max="15907" width="13.75" style="325" customWidth="1"/>
    <col min="15908" max="15911" width="14.375" style="325" customWidth="1"/>
    <col min="15912" max="15912" width="12.875" style="325" customWidth="1"/>
    <col min="15913" max="15913" width="13.75" style="325" customWidth="1"/>
    <col min="15914" max="15914" width="0.75" style="325" customWidth="1"/>
    <col min="15915" max="15915" width="13.75" style="325" customWidth="1"/>
    <col min="15916" max="15919" width="14.375" style="325" customWidth="1"/>
    <col min="15920" max="15920" width="12.875" style="325" customWidth="1"/>
    <col min="15921" max="15921" width="13.75" style="325" customWidth="1"/>
    <col min="15922" max="15922" width="0.75" style="325" customWidth="1"/>
    <col min="15923" max="15923" width="13.75" style="325" customWidth="1"/>
    <col min="15924" max="15927" width="14.375" style="325" customWidth="1"/>
    <col min="15928" max="15928" width="12.875" style="325" customWidth="1"/>
    <col min="15929" max="15929" width="13.75" style="325" customWidth="1"/>
    <col min="15930" max="15930" width="0.75" style="325" customWidth="1"/>
    <col min="15931" max="15931" width="13.75" style="325" customWidth="1"/>
    <col min="15932" max="15935" width="14.375" style="325" customWidth="1"/>
    <col min="15936" max="15936" width="12.875" style="325" customWidth="1"/>
    <col min="15937" max="15937" width="13.75" style="325" customWidth="1"/>
    <col min="15938" max="15938" width="0.75" style="325" customWidth="1"/>
    <col min="15939" max="15939" width="13.75" style="325" customWidth="1"/>
    <col min="15940" max="15943" width="14.375" style="325" customWidth="1"/>
    <col min="15944" max="15944" width="12.875" style="325" customWidth="1"/>
    <col min="15945" max="15945" width="13.75" style="325" customWidth="1"/>
    <col min="15946" max="15946" width="0.75" style="325" customWidth="1"/>
    <col min="15947" max="15947" width="13.75" style="325" customWidth="1"/>
    <col min="15948" max="15951" width="14.375" style="325" customWidth="1"/>
    <col min="15952" max="15952" width="12.875" style="325" customWidth="1"/>
    <col min="15953" max="15953" width="13.75" style="325" customWidth="1"/>
    <col min="15954" max="15954" width="0.75" style="325" customWidth="1"/>
    <col min="15955" max="15955" width="13.75" style="325" customWidth="1"/>
    <col min="15956" max="15959" width="14.375" style="325" customWidth="1"/>
    <col min="15960" max="15960" width="12.875" style="325" customWidth="1"/>
    <col min="15961" max="15961" width="13.75" style="325" customWidth="1"/>
    <col min="15962" max="15962" width="0.75" style="325" customWidth="1"/>
    <col min="15963" max="15963" width="13.75" style="325" customWidth="1"/>
    <col min="15964" max="15967" width="14.375" style="325" customWidth="1"/>
    <col min="15968" max="15968" width="12.875" style="325" customWidth="1"/>
    <col min="15969" max="15969" width="13.75" style="325" customWidth="1"/>
    <col min="15970" max="15970" width="0.75" style="325" customWidth="1"/>
    <col min="15971" max="15971" width="13.75" style="325" customWidth="1"/>
    <col min="15972" max="15975" width="14.375" style="325" customWidth="1"/>
    <col min="15976" max="15976" width="12.875" style="325" customWidth="1"/>
    <col min="15977" max="15977" width="13.75" style="325" customWidth="1"/>
    <col min="15978" max="15978" width="17.5" style="325" customWidth="1"/>
    <col min="15979"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3.75" style="325" customWidth="1"/>
    <col min="16138" max="16138" width="0.75" style="325" customWidth="1"/>
    <col min="16139" max="16139" width="13.75" style="325" customWidth="1"/>
    <col min="16140" max="16143" width="14.375" style="325" customWidth="1"/>
    <col min="16144" max="16144" width="12.875" style="325" customWidth="1"/>
    <col min="16145" max="16145" width="13.75" style="325" customWidth="1"/>
    <col min="16146" max="16146" width="0.75" style="325" customWidth="1"/>
    <col min="16147" max="16147" width="13.75" style="325" customWidth="1"/>
    <col min="16148" max="16151" width="14.375" style="325" customWidth="1"/>
    <col min="16152" max="16152" width="12.875" style="325" customWidth="1"/>
    <col min="16153" max="16153" width="13.75" style="325" customWidth="1"/>
    <col min="16154" max="16154" width="0.75" style="325" customWidth="1"/>
    <col min="16155" max="16155" width="13.75" style="325" customWidth="1"/>
    <col min="16156" max="16159" width="14.375" style="325" customWidth="1"/>
    <col min="16160" max="16160" width="12.875" style="325" customWidth="1"/>
    <col min="16161" max="16161" width="13.75" style="325" customWidth="1"/>
    <col min="16162" max="16162" width="0.75" style="325" customWidth="1"/>
    <col min="16163" max="16163" width="13.75" style="325" customWidth="1"/>
    <col min="16164" max="16167" width="14.375" style="325" customWidth="1"/>
    <col min="16168" max="16168" width="12.875" style="325" customWidth="1"/>
    <col min="16169" max="16169" width="13.75" style="325" customWidth="1"/>
    <col min="16170" max="16170" width="0.75" style="325" customWidth="1"/>
    <col min="16171" max="16171" width="13.75" style="325" customWidth="1"/>
    <col min="16172" max="16175" width="14.375" style="325" customWidth="1"/>
    <col min="16176" max="16176" width="12.875" style="325" customWidth="1"/>
    <col min="16177" max="16177" width="13.75" style="325" customWidth="1"/>
    <col min="16178" max="16178" width="0.75" style="325" customWidth="1"/>
    <col min="16179" max="16179" width="13.75" style="325" customWidth="1"/>
    <col min="16180" max="16183" width="14.375" style="325" customWidth="1"/>
    <col min="16184" max="16184" width="12.875" style="325" customWidth="1"/>
    <col min="16185" max="16185" width="13.75" style="325" customWidth="1"/>
    <col min="16186" max="16186" width="0.75" style="325" customWidth="1"/>
    <col min="16187" max="16187" width="13.75" style="325" customWidth="1"/>
    <col min="16188" max="16191" width="14.375" style="325" customWidth="1"/>
    <col min="16192" max="16192" width="12.875" style="325" customWidth="1"/>
    <col min="16193" max="16193" width="13.75" style="325" customWidth="1"/>
    <col min="16194" max="16194" width="0.75" style="325" customWidth="1"/>
    <col min="16195" max="16195" width="13.75" style="325" customWidth="1"/>
    <col min="16196" max="16199" width="14.375" style="325" customWidth="1"/>
    <col min="16200" max="16200" width="12.875" style="325" customWidth="1"/>
    <col min="16201" max="16201" width="13.75" style="325" customWidth="1"/>
    <col min="16202" max="16202" width="0.75" style="325" customWidth="1"/>
    <col min="16203" max="16203" width="13.75" style="325" customWidth="1"/>
    <col min="16204" max="16207" width="14.375" style="325" customWidth="1"/>
    <col min="16208" max="16208" width="12.875" style="325" customWidth="1"/>
    <col min="16209" max="16209" width="13.75" style="325" customWidth="1"/>
    <col min="16210" max="16210" width="0.75" style="325" customWidth="1"/>
    <col min="16211" max="16211" width="13.75" style="325" customWidth="1"/>
    <col min="16212" max="16215" width="14.375" style="325" customWidth="1"/>
    <col min="16216" max="16216" width="12.875" style="325" customWidth="1"/>
    <col min="16217" max="16217" width="13.75" style="325" customWidth="1"/>
    <col min="16218" max="16218" width="0.75" style="325" customWidth="1"/>
    <col min="16219" max="16219" width="13.75" style="325" customWidth="1"/>
    <col min="16220" max="16223" width="14.375" style="325" customWidth="1"/>
    <col min="16224" max="16224" width="12.875" style="325" customWidth="1"/>
    <col min="16225" max="16225" width="13.75" style="325" customWidth="1"/>
    <col min="16226" max="16226" width="0.75" style="325" customWidth="1"/>
    <col min="16227" max="16227" width="13.75" style="325" customWidth="1"/>
    <col min="16228" max="16231" width="14.375" style="325" customWidth="1"/>
    <col min="16232" max="16232" width="12.875" style="325" customWidth="1"/>
    <col min="16233" max="16233" width="13.75" style="325" customWidth="1"/>
    <col min="16234" max="16234" width="17.5" style="325" customWidth="1"/>
    <col min="16235" max="16384" width="9" style="325"/>
  </cols>
  <sheetData>
    <row r="1" spans="1:106"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row>
    <row r="2" spans="1:106"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row>
    <row r="3" spans="1:106" s="298" customFormat="1" x14ac:dyDescent="0.5">
      <c r="A3" s="499"/>
      <c r="B3" s="499" t="s">
        <v>2925</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row>
    <row r="4" spans="1:106" s="298" customFormat="1" x14ac:dyDescent="0.5">
      <c r="A4" s="500"/>
      <c r="B4" s="516" t="s">
        <v>3196</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row>
    <row r="5" spans="1:106" s="301" customFormat="1" ht="14.25" customHeight="1" x14ac:dyDescent="0.45">
      <c r="A5" s="299"/>
      <c r="B5" s="299"/>
      <c r="C5" s="300"/>
      <c r="J5" s="501"/>
      <c r="K5" s="300"/>
      <c r="S5" s="300"/>
      <c r="Z5" s="501"/>
      <c r="AA5" s="300"/>
      <c r="AI5" s="300"/>
      <c r="AP5" s="501"/>
      <c r="AQ5" s="300"/>
      <c r="AY5" s="300"/>
      <c r="BF5" s="501"/>
      <c r="BG5" s="300"/>
      <c r="BO5" s="300"/>
      <c r="BV5" s="501"/>
      <c r="BW5" s="300"/>
      <c r="CE5" s="300"/>
      <c r="CL5" s="501"/>
      <c r="CM5" s="300"/>
      <c r="CU5" s="300"/>
    </row>
    <row r="6" spans="1:106" s="303" customFormat="1" ht="21" x14ac:dyDescent="0.45">
      <c r="A6" s="619" t="s">
        <v>253</v>
      </c>
      <c r="B6" s="619" t="s">
        <v>1915</v>
      </c>
      <c r="C6" s="613" t="s">
        <v>2926</v>
      </c>
      <c r="D6" s="614"/>
      <c r="E6" s="614"/>
      <c r="F6" s="614"/>
      <c r="G6" s="614"/>
      <c r="H6" s="614"/>
      <c r="I6" s="615"/>
      <c r="J6" s="513"/>
      <c r="K6" s="616" t="s">
        <v>2927</v>
      </c>
      <c r="L6" s="617"/>
      <c r="M6" s="617"/>
      <c r="N6" s="617"/>
      <c r="O6" s="617"/>
      <c r="P6" s="617"/>
      <c r="Q6" s="618"/>
      <c r="R6" s="513"/>
      <c r="S6" s="613" t="s">
        <v>2928</v>
      </c>
      <c r="T6" s="614"/>
      <c r="U6" s="614"/>
      <c r="V6" s="614"/>
      <c r="W6" s="614"/>
      <c r="X6" s="614"/>
      <c r="Y6" s="615"/>
      <c r="Z6" s="513"/>
      <c r="AA6" s="616" t="s">
        <v>2929</v>
      </c>
      <c r="AB6" s="617"/>
      <c r="AC6" s="617"/>
      <c r="AD6" s="617"/>
      <c r="AE6" s="617"/>
      <c r="AF6" s="617"/>
      <c r="AG6" s="618"/>
      <c r="AH6" s="513"/>
      <c r="AI6" s="613" t="s">
        <v>2930</v>
      </c>
      <c r="AJ6" s="614"/>
      <c r="AK6" s="614"/>
      <c r="AL6" s="614"/>
      <c r="AM6" s="614"/>
      <c r="AN6" s="614"/>
      <c r="AO6" s="615"/>
      <c r="AP6" s="513"/>
      <c r="AQ6" s="616" t="s">
        <v>2931</v>
      </c>
      <c r="AR6" s="617"/>
      <c r="AS6" s="617"/>
      <c r="AT6" s="617"/>
      <c r="AU6" s="617"/>
      <c r="AV6" s="617"/>
      <c r="AW6" s="618"/>
      <c r="AX6" s="513"/>
      <c r="AY6" s="613" t="s">
        <v>2932</v>
      </c>
      <c r="AZ6" s="614"/>
      <c r="BA6" s="614"/>
      <c r="BB6" s="614"/>
      <c r="BC6" s="614"/>
      <c r="BD6" s="614"/>
      <c r="BE6" s="615"/>
      <c r="BF6" s="513"/>
      <c r="BG6" s="616" t="s">
        <v>2933</v>
      </c>
      <c r="BH6" s="617"/>
      <c r="BI6" s="617"/>
      <c r="BJ6" s="617"/>
      <c r="BK6" s="617"/>
      <c r="BL6" s="617"/>
      <c r="BM6" s="618"/>
      <c r="BN6" s="559"/>
      <c r="BO6" s="613" t="s">
        <v>2934</v>
      </c>
      <c r="BP6" s="614"/>
      <c r="BQ6" s="614"/>
      <c r="BR6" s="614"/>
      <c r="BS6" s="614"/>
      <c r="BT6" s="614"/>
      <c r="BU6" s="615"/>
      <c r="BV6" s="559"/>
      <c r="BW6" s="616" t="s">
        <v>2935</v>
      </c>
      <c r="BX6" s="617"/>
      <c r="BY6" s="617"/>
      <c r="BZ6" s="617"/>
      <c r="CA6" s="617"/>
      <c r="CB6" s="617"/>
      <c r="CC6" s="618"/>
      <c r="CD6" s="559"/>
      <c r="CE6" s="613" t="s">
        <v>2936</v>
      </c>
      <c r="CF6" s="614"/>
      <c r="CG6" s="614"/>
      <c r="CH6" s="614"/>
      <c r="CI6" s="614"/>
      <c r="CJ6" s="614"/>
      <c r="CK6" s="615"/>
      <c r="CL6" s="559"/>
      <c r="CM6" s="616" t="s">
        <v>2937</v>
      </c>
      <c r="CN6" s="617"/>
      <c r="CO6" s="617"/>
      <c r="CP6" s="617"/>
      <c r="CQ6" s="617"/>
      <c r="CR6" s="617"/>
      <c r="CS6" s="618"/>
      <c r="CT6" s="559"/>
      <c r="CU6" s="620" t="s">
        <v>3197</v>
      </c>
      <c r="CV6" s="621"/>
      <c r="CW6" s="621"/>
      <c r="CX6" s="621"/>
      <c r="CY6" s="621"/>
      <c r="CZ6" s="621"/>
      <c r="DA6" s="622"/>
      <c r="DB6" s="302"/>
    </row>
    <row r="7" spans="1:106" s="303" customFormat="1" ht="42" customHeight="1" x14ac:dyDescent="0.45">
      <c r="A7" s="619"/>
      <c r="B7" s="619"/>
      <c r="C7" s="603" t="s">
        <v>263</v>
      </c>
      <c r="D7" s="649" t="s">
        <v>2905</v>
      </c>
      <c r="E7" s="649"/>
      <c r="F7" s="649"/>
      <c r="G7" s="649"/>
      <c r="H7" s="649"/>
      <c r="I7" s="600" t="s">
        <v>256</v>
      </c>
      <c r="J7" s="560"/>
      <c r="K7" s="603" t="s">
        <v>263</v>
      </c>
      <c r="L7" s="649" t="s">
        <v>2905</v>
      </c>
      <c r="M7" s="649"/>
      <c r="N7" s="649"/>
      <c r="O7" s="649"/>
      <c r="P7" s="649"/>
      <c r="Q7" s="600" t="s">
        <v>256</v>
      </c>
      <c r="R7" s="560"/>
      <c r="S7" s="603" t="s">
        <v>263</v>
      </c>
      <c r="T7" s="649" t="s">
        <v>2905</v>
      </c>
      <c r="U7" s="649"/>
      <c r="V7" s="649"/>
      <c r="W7" s="649"/>
      <c r="X7" s="649"/>
      <c r="Y7" s="600" t="s">
        <v>256</v>
      </c>
      <c r="Z7" s="560"/>
      <c r="AA7" s="603" t="s">
        <v>263</v>
      </c>
      <c r="AB7" s="649" t="s">
        <v>2905</v>
      </c>
      <c r="AC7" s="649"/>
      <c r="AD7" s="649"/>
      <c r="AE7" s="649"/>
      <c r="AF7" s="649"/>
      <c r="AG7" s="600" t="s">
        <v>256</v>
      </c>
      <c r="AH7" s="560"/>
      <c r="AI7" s="603" t="s">
        <v>263</v>
      </c>
      <c r="AJ7" s="649" t="s">
        <v>2905</v>
      </c>
      <c r="AK7" s="649"/>
      <c r="AL7" s="649"/>
      <c r="AM7" s="649"/>
      <c r="AN7" s="649"/>
      <c r="AO7" s="600" t="s">
        <v>256</v>
      </c>
      <c r="AP7" s="560"/>
      <c r="AQ7" s="603" t="s">
        <v>263</v>
      </c>
      <c r="AR7" s="649" t="s">
        <v>2905</v>
      </c>
      <c r="AS7" s="649"/>
      <c r="AT7" s="649"/>
      <c r="AU7" s="649"/>
      <c r="AV7" s="649"/>
      <c r="AW7" s="600" t="s">
        <v>256</v>
      </c>
      <c r="AX7" s="560"/>
      <c r="AY7" s="603" t="s">
        <v>263</v>
      </c>
      <c r="AZ7" s="649" t="s">
        <v>2905</v>
      </c>
      <c r="BA7" s="649"/>
      <c r="BB7" s="649"/>
      <c r="BC7" s="649"/>
      <c r="BD7" s="649"/>
      <c r="BE7" s="600" t="s">
        <v>256</v>
      </c>
      <c r="BF7" s="560"/>
      <c r="BG7" s="603" t="s">
        <v>263</v>
      </c>
      <c r="BH7" s="649" t="s">
        <v>2905</v>
      </c>
      <c r="BI7" s="649"/>
      <c r="BJ7" s="649"/>
      <c r="BK7" s="649"/>
      <c r="BL7" s="649"/>
      <c r="BM7" s="600" t="s">
        <v>256</v>
      </c>
      <c r="BN7" s="560"/>
      <c r="BO7" s="603" t="s">
        <v>263</v>
      </c>
      <c r="BP7" s="649" t="s">
        <v>2905</v>
      </c>
      <c r="BQ7" s="649"/>
      <c r="BR7" s="649"/>
      <c r="BS7" s="649"/>
      <c r="BT7" s="649"/>
      <c r="BU7" s="600" t="s">
        <v>256</v>
      </c>
      <c r="BV7" s="560"/>
      <c r="BW7" s="603" t="s">
        <v>263</v>
      </c>
      <c r="BX7" s="649" t="s">
        <v>2905</v>
      </c>
      <c r="BY7" s="649"/>
      <c r="BZ7" s="649"/>
      <c r="CA7" s="649"/>
      <c r="CB7" s="649"/>
      <c r="CC7" s="600" t="s">
        <v>256</v>
      </c>
      <c r="CD7" s="560"/>
      <c r="CE7" s="603" t="s">
        <v>263</v>
      </c>
      <c r="CF7" s="649" t="s">
        <v>2905</v>
      </c>
      <c r="CG7" s="649"/>
      <c r="CH7" s="649"/>
      <c r="CI7" s="649"/>
      <c r="CJ7" s="649"/>
      <c r="CK7" s="600" t="s">
        <v>256</v>
      </c>
      <c r="CL7" s="560"/>
      <c r="CM7" s="603" t="s">
        <v>263</v>
      </c>
      <c r="CN7" s="649" t="s">
        <v>2905</v>
      </c>
      <c r="CO7" s="649"/>
      <c r="CP7" s="649"/>
      <c r="CQ7" s="649"/>
      <c r="CR7" s="649"/>
      <c r="CS7" s="600" t="s">
        <v>256</v>
      </c>
      <c r="CT7" s="560"/>
      <c r="CU7" s="631" t="s">
        <v>263</v>
      </c>
      <c r="CV7" s="653" t="s">
        <v>2905</v>
      </c>
      <c r="CW7" s="653"/>
      <c r="CX7" s="653"/>
      <c r="CY7" s="653"/>
      <c r="CZ7" s="653"/>
      <c r="DA7" s="623" t="s">
        <v>256</v>
      </c>
      <c r="DB7" s="302"/>
    </row>
    <row r="8" spans="1:106" s="304" customFormat="1" ht="65.25" customHeight="1" x14ac:dyDescent="0.2">
      <c r="A8" s="619"/>
      <c r="B8" s="619"/>
      <c r="C8" s="604"/>
      <c r="D8" s="597" t="s">
        <v>2239</v>
      </c>
      <c r="E8" s="599"/>
      <c r="F8" s="650" t="s">
        <v>265</v>
      </c>
      <c r="G8" s="651"/>
      <c r="H8" s="652"/>
      <c r="I8" s="601"/>
      <c r="J8" s="561"/>
      <c r="K8" s="604"/>
      <c r="L8" s="597" t="s">
        <v>2239</v>
      </c>
      <c r="M8" s="599"/>
      <c r="N8" s="650" t="s">
        <v>265</v>
      </c>
      <c r="O8" s="651"/>
      <c r="P8" s="652"/>
      <c r="Q8" s="601"/>
      <c r="R8" s="561"/>
      <c r="S8" s="604"/>
      <c r="T8" s="597" t="s">
        <v>2239</v>
      </c>
      <c r="U8" s="599"/>
      <c r="V8" s="650" t="s">
        <v>265</v>
      </c>
      <c r="W8" s="651"/>
      <c r="X8" s="652"/>
      <c r="Y8" s="601"/>
      <c r="Z8" s="561"/>
      <c r="AA8" s="604"/>
      <c r="AB8" s="597" t="s">
        <v>2239</v>
      </c>
      <c r="AC8" s="599"/>
      <c r="AD8" s="650" t="s">
        <v>265</v>
      </c>
      <c r="AE8" s="651"/>
      <c r="AF8" s="652"/>
      <c r="AG8" s="601"/>
      <c r="AH8" s="561"/>
      <c r="AI8" s="604"/>
      <c r="AJ8" s="597" t="s">
        <v>2239</v>
      </c>
      <c r="AK8" s="599"/>
      <c r="AL8" s="650" t="s">
        <v>265</v>
      </c>
      <c r="AM8" s="651"/>
      <c r="AN8" s="652"/>
      <c r="AO8" s="601"/>
      <c r="AP8" s="561"/>
      <c r="AQ8" s="604"/>
      <c r="AR8" s="597" t="s">
        <v>2239</v>
      </c>
      <c r="AS8" s="599"/>
      <c r="AT8" s="650" t="s">
        <v>265</v>
      </c>
      <c r="AU8" s="651"/>
      <c r="AV8" s="652"/>
      <c r="AW8" s="601"/>
      <c r="AX8" s="561"/>
      <c r="AY8" s="604"/>
      <c r="AZ8" s="597" t="s">
        <v>2239</v>
      </c>
      <c r="BA8" s="599"/>
      <c r="BB8" s="650" t="s">
        <v>265</v>
      </c>
      <c r="BC8" s="651"/>
      <c r="BD8" s="652"/>
      <c r="BE8" s="601"/>
      <c r="BF8" s="561"/>
      <c r="BG8" s="604"/>
      <c r="BH8" s="597" t="s">
        <v>2239</v>
      </c>
      <c r="BI8" s="599"/>
      <c r="BJ8" s="650" t="s">
        <v>265</v>
      </c>
      <c r="BK8" s="651"/>
      <c r="BL8" s="652"/>
      <c r="BM8" s="601"/>
      <c r="BN8" s="561"/>
      <c r="BO8" s="604"/>
      <c r="BP8" s="597" t="s">
        <v>2239</v>
      </c>
      <c r="BQ8" s="599"/>
      <c r="BR8" s="650" t="s">
        <v>265</v>
      </c>
      <c r="BS8" s="651"/>
      <c r="BT8" s="652"/>
      <c r="BU8" s="601"/>
      <c r="BV8" s="561"/>
      <c r="BW8" s="604"/>
      <c r="BX8" s="597" t="s">
        <v>2239</v>
      </c>
      <c r="BY8" s="599"/>
      <c r="BZ8" s="650" t="s">
        <v>265</v>
      </c>
      <c r="CA8" s="651"/>
      <c r="CB8" s="652"/>
      <c r="CC8" s="601"/>
      <c r="CD8" s="561"/>
      <c r="CE8" s="604"/>
      <c r="CF8" s="597" t="s">
        <v>2239</v>
      </c>
      <c r="CG8" s="599"/>
      <c r="CH8" s="650" t="s">
        <v>265</v>
      </c>
      <c r="CI8" s="651"/>
      <c r="CJ8" s="652"/>
      <c r="CK8" s="601"/>
      <c r="CL8" s="561"/>
      <c r="CM8" s="604"/>
      <c r="CN8" s="597" t="s">
        <v>2239</v>
      </c>
      <c r="CO8" s="599"/>
      <c r="CP8" s="650" t="s">
        <v>265</v>
      </c>
      <c r="CQ8" s="651"/>
      <c r="CR8" s="652"/>
      <c r="CS8" s="601"/>
      <c r="CT8" s="561"/>
      <c r="CU8" s="632"/>
      <c r="CV8" s="629" t="s">
        <v>2239</v>
      </c>
      <c r="CW8" s="630"/>
      <c r="CX8" s="624" t="s">
        <v>265</v>
      </c>
      <c r="CY8" s="625"/>
      <c r="CZ8" s="626"/>
      <c r="DA8" s="623"/>
    </row>
    <row r="9" spans="1:106" s="303" customFormat="1" ht="36" customHeight="1" x14ac:dyDescent="0.45">
      <c r="A9" s="619"/>
      <c r="B9" s="619"/>
      <c r="C9" s="605"/>
      <c r="D9" s="502" t="s">
        <v>1916</v>
      </c>
      <c r="E9" s="502" t="s">
        <v>1917</v>
      </c>
      <c r="F9" s="502" t="s">
        <v>1916</v>
      </c>
      <c r="G9" s="502" t="s">
        <v>1917</v>
      </c>
      <c r="H9" s="502" t="s">
        <v>1918</v>
      </c>
      <c r="I9" s="602"/>
      <c r="J9" s="562"/>
      <c r="K9" s="605"/>
      <c r="L9" s="502" t="s">
        <v>1916</v>
      </c>
      <c r="M9" s="502" t="s">
        <v>1917</v>
      </c>
      <c r="N9" s="502" t="s">
        <v>1916</v>
      </c>
      <c r="O9" s="502" t="s">
        <v>1917</v>
      </c>
      <c r="P9" s="502" t="s">
        <v>1918</v>
      </c>
      <c r="Q9" s="602"/>
      <c r="R9" s="562"/>
      <c r="S9" s="605"/>
      <c r="T9" s="502" t="s">
        <v>1916</v>
      </c>
      <c r="U9" s="502" t="s">
        <v>1917</v>
      </c>
      <c r="V9" s="502" t="s">
        <v>1916</v>
      </c>
      <c r="W9" s="502" t="s">
        <v>1917</v>
      </c>
      <c r="X9" s="502" t="s">
        <v>1918</v>
      </c>
      <c r="Y9" s="602"/>
      <c r="Z9" s="562"/>
      <c r="AA9" s="605"/>
      <c r="AB9" s="502" t="s">
        <v>1916</v>
      </c>
      <c r="AC9" s="502" t="s">
        <v>1917</v>
      </c>
      <c r="AD9" s="502" t="s">
        <v>1916</v>
      </c>
      <c r="AE9" s="502" t="s">
        <v>1917</v>
      </c>
      <c r="AF9" s="502" t="s">
        <v>1918</v>
      </c>
      <c r="AG9" s="602"/>
      <c r="AH9" s="562"/>
      <c r="AI9" s="605"/>
      <c r="AJ9" s="502" t="s">
        <v>1916</v>
      </c>
      <c r="AK9" s="502" t="s">
        <v>1917</v>
      </c>
      <c r="AL9" s="502" t="s">
        <v>1916</v>
      </c>
      <c r="AM9" s="502" t="s">
        <v>1917</v>
      </c>
      <c r="AN9" s="502" t="s">
        <v>1918</v>
      </c>
      <c r="AO9" s="602"/>
      <c r="AP9" s="562"/>
      <c r="AQ9" s="605"/>
      <c r="AR9" s="502" t="s">
        <v>1916</v>
      </c>
      <c r="AS9" s="502" t="s">
        <v>1917</v>
      </c>
      <c r="AT9" s="502" t="s">
        <v>1916</v>
      </c>
      <c r="AU9" s="502" t="s">
        <v>1917</v>
      </c>
      <c r="AV9" s="502" t="s">
        <v>1918</v>
      </c>
      <c r="AW9" s="602"/>
      <c r="AX9" s="562"/>
      <c r="AY9" s="605"/>
      <c r="AZ9" s="502" t="s">
        <v>1916</v>
      </c>
      <c r="BA9" s="502" t="s">
        <v>1917</v>
      </c>
      <c r="BB9" s="502" t="s">
        <v>1916</v>
      </c>
      <c r="BC9" s="502" t="s">
        <v>1917</v>
      </c>
      <c r="BD9" s="502" t="s">
        <v>1918</v>
      </c>
      <c r="BE9" s="602"/>
      <c r="BF9" s="562"/>
      <c r="BG9" s="605"/>
      <c r="BH9" s="502" t="s">
        <v>1916</v>
      </c>
      <c r="BI9" s="502" t="s">
        <v>1917</v>
      </c>
      <c r="BJ9" s="502" t="s">
        <v>1916</v>
      </c>
      <c r="BK9" s="502" t="s">
        <v>1917</v>
      </c>
      <c r="BL9" s="502" t="s">
        <v>1918</v>
      </c>
      <c r="BM9" s="602"/>
      <c r="BN9" s="562"/>
      <c r="BO9" s="605"/>
      <c r="BP9" s="502" t="s">
        <v>1916</v>
      </c>
      <c r="BQ9" s="502" t="s">
        <v>1917</v>
      </c>
      <c r="BR9" s="502" t="s">
        <v>1916</v>
      </c>
      <c r="BS9" s="502" t="s">
        <v>1917</v>
      </c>
      <c r="BT9" s="502" t="s">
        <v>1918</v>
      </c>
      <c r="BU9" s="602"/>
      <c r="BV9" s="562"/>
      <c r="BW9" s="605"/>
      <c r="BX9" s="502" t="s">
        <v>1916</v>
      </c>
      <c r="BY9" s="502" t="s">
        <v>1917</v>
      </c>
      <c r="BZ9" s="502" t="s">
        <v>1916</v>
      </c>
      <c r="CA9" s="502" t="s">
        <v>1917</v>
      </c>
      <c r="CB9" s="502" t="s">
        <v>1918</v>
      </c>
      <c r="CC9" s="602"/>
      <c r="CD9" s="562"/>
      <c r="CE9" s="605"/>
      <c r="CF9" s="502" t="s">
        <v>1916</v>
      </c>
      <c r="CG9" s="502" t="s">
        <v>1917</v>
      </c>
      <c r="CH9" s="502" t="s">
        <v>1916</v>
      </c>
      <c r="CI9" s="502" t="s">
        <v>1917</v>
      </c>
      <c r="CJ9" s="502" t="s">
        <v>1918</v>
      </c>
      <c r="CK9" s="602"/>
      <c r="CL9" s="562"/>
      <c r="CM9" s="605"/>
      <c r="CN9" s="502" t="s">
        <v>1916</v>
      </c>
      <c r="CO9" s="502" t="s">
        <v>1917</v>
      </c>
      <c r="CP9" s="502" t="s">
        <v>1916</v>
      </c>
      <c r="CQ9" s="502" t="s">
        <v>1917</v>
      </c>
      <c r="CR9" s="502" t="s">
        <v>1918</v>
      </c>
      <c r="CS9" s="602"/>
      <c r="CT9" s="562"/>
      <c r="CU9" s="633"/>
      <c r="CV9" s="305" t="s">
        <v>1916</v>
      </c>
      <c r="CW9" s="305" t="s">
        <v>1917</v>
      </c>
      <c r="CX9" s="306" t="s">
        <v>1916</v>
      </c>
      <c r="CY9" s="306" t="s">
        <v>1917</v>
      </c>
      <c r="CZ9" s="306" t="s">
        <v>1918</v>
      </c>
      <c r="DA9" s="623"/>
      <c r="DB9" s="302"/>
    </row>
    <row r="10" spans="1:106" s="310" customFormat="1" ht="20.25" customHeight="1" x14ac:dyDescent="0.2">
      <c r="A10" s="307">
        <v>1</v>
      </c>
      <c r="B10" s="308" t="s">
        <v>1186</v>
      </c>
      <c r="C10" s="309">
        <v>0</v>
      </c>
      <c r="D10" s="309">
        <v>0</v>
      </c>
      <c r="E10" s="309">
        <v>0</v>
      </c>
      <c r="F10" s="309">
        <v>0</v>
      </c>
      <c r="G10" s="309">
        <v>0</v>
      </c>
      <c r="H10" s="309"/>
      <c r="I10" s="309">
        <f>+C10-(SUM(D10:H10))</f>
        <v>0</v>
      </c>
      <c r="J10" s="309"/>
      <c r="K10" s="309">
        <v>0</v>
      </c>
      <c r="L10" s="309">
        <v>0</v>
      </c>
      <c r="M10" s="309">
        <v>0</v>
      </c>
      <c r="N10" s="309">
        <v>0</v>
      </c>
      <c r="O10" s="309">
        <v>0</v>
      </c>
      <c r="P10" s="309"/>
      <c r="Q10" s="309">
        <f>+K10-(SUM(L10:P10))</f>
        <v>0</v>
      </c>
      <c r="R10" s="309"/>
      <c r="S10" s="309">
        <v>81000</v>
      </c>
      <c r="T10" s="309">
        <v>4050</v>
      </c>
      <c r="U10" s="309">
        <v>4050</v>
      </c>
      <c r="V10" s="309">
        <v>0</v>
      </c>
      <c r="W10" s="309">
        <v>0</v>
      </c>
      <c r="X10" s="309"/>
      <c r="Y10" s="309">
        <f>+S10-(SUM(T10:X10))</f>
        <v>72900</v>
      </c>
      <c r="Z10" s="309"/>
      <c r="AA10" s="309">
        <v>0</v>
      </c>
      <c r="AB10" s="309">
        <v>0</v>
      </c>
      <c r="AC10" s="309">
        <v>0</v>
      </c>
      <c r="AD10" s="309">
        <v>0</v>
      </c>
      <c r="AE10" s="309">
        <v>0</v>
      </c>
      <c r="AF10" s="309"/>
      <c r="AG10" s="309">
        <f>+AA10-(SUM(AB10:AF10))</f>
        <v>0</v>
      </c>
      <c r="AH10" s="309"/>
      <c r="AI10" s="309">
        <v>0</v>
      </c>
      <c r="AJ10" s="309">
        <v>0</v>
      </c>
      <c r="AK10" s="309">
        <v>0</v>
      </c>
      <c r="AL10" s="309">
        <v>0</v>
      </c>
      <c r="AM10" s="309">
        <v>0</v>
      </c>
      <c r="AN10" s="309"/>
      <c r="AO10" s="309">
        <f>+AI10-(SUM(AJ10:AN10))</f>
        <v>0</v>
      </c>
      <c r="AP10" s="309"/>
      <c r="AQ10" s="309">
        <v>669046</v>
      </c>
      <c r="AR10" s="309">
        <v>0</v>
      </c>
      <c r="AS10" s="309">
        <v>0</v>
      </c>
      <c r="AT10" s="309">
        <v>0</v>
      </c>
      <c r="AU10" s="309">
        <v>0</v>
      </c>
      <c r="AV10" s="309"/>
      <c r="AW10" s="309">
        <f>+AQ10-(SUM(AR10:AV10))</f>
        <v>669046</v>
      </c>
      <c r="AX10" s="309"/>
      <c r="AY10" s="309">
        <v>199500</v>
      </c>
      <c r="AZ10" s="309">
        <v>0</v>
      </c>
      <c r="BA10" s="309">
        <v>0</v>
      </c>
      <c r="BB10" s="309">
        <v>9975</v>
      </c>
      <c r="BC10" s="309">
        <v>9975</v>
      </c>
      <c r="BD10" s="309"/>
      <c r="BE10" s="309">
        <f>+AY10-(SUM(AZ10:BD10))</f>
        <v>179550</v>
      </c>
      <c r="BF10" s="309"/>
      <c r="BG10" s="309">
        <v>3622350</v>
      </c>
      <c r="BH10" s="309">
        <v>0</v>
      </c>
      <c r="BI10" s="309">
        <v>0</v>
      </c>
      <c r="BJ10" s="309">
        <v>97125</v>
      </c>
      <c r="BK10" s="309">
        <v>97125</v>
      </c>
      <c r="BL10" s="309"/>
      <c r="BM10" s="309">
        <f>+BG10-(SUM(BH10:BL10))</f>
        <v>3428100</v>
      </c>
      <c r="BN10" s="309"/>
      <c r="BO10" s="309">
        <v>1156625</v>
      </c>
      <c r="BP10" s="309">
        <v>0</v>
      </c>
      <c r="BQ10" s="309">
        <v>0</v>
      </c>
      <c r="BR10" s="309">
        <v>57831.25</v>
      </c>
      <c r="BS10" s="309">
        <v>57831.25</v>
      </c>
      <c r="BT10" s="309"/>
      <c r="BU10" s="309">
        <f>+BO10-(SUM(BP10:BT10))</f>
        <v>1040962.5</v>
      </c>
      <c r="BV10" s="309"/>
      <c r="BW10" s="309">
        <v>171000</v>
      </c>
      <c r="BX10" s="309">
        <v>8550</v>
      </c>
      <c r="BY10" s="309">
        <v>8550</v>
      </c>
      <c r="BZ10" s="309">
        <v>0</v>
      </c>
      <c r="CA10" s="309">
        <v>0</v>
      </c>
      <c r="CB10" s="309"/>
      <c r="CC10" s="309">
        <f>+BW10-(SUM(BX10:CB10))</f>
        <v>153900</v>
      </c>
      <c r="CD10" s="309"/>
      <c r="CE10" s="309">
        <v>0</v>
      </c>
      <c r="CF10" s="309">
        <v>0</v>
      </c>
      <c r="CG10" s="309">
        <v>0</v>
      </c>
      <c r="CH10" s="309">
        <v>0</v>
      </c>
      <c r="CI10" s="309">
        <v>0</v>
      </c>
      <c r="CJ10" s="309"/>
      <c r="CK10" s="309">
        <f>+CE10-(SUM(CF10:CJ10))</f>
        <v>0</v>
      </c>
      <c r="CL10" s="309"/>
      <c r="CM10" s="309">
        <v>2484389</v>
      </c>
      <c r="CN10" s="309">
        <v>0</v>
      </c>
      <c r="CO10" s="309">
        <v>0</v>
      </c>
      <c r="CP10" s="309">
        <v>132325.75</v>
      </c>
      <c r="CQ10" s="309">
        <v>473825.75</v>
      </c>
      <c r="CR10" s="309"/>
      <c r="CS10" s="309">
        <f>+CM10-(SUM(CN10:CR10))</f>
        <v>1878237.5</v>
      </c>
      <c r="CT10" s="309"/>
      <c r="CU10" s="309">
        <f>SUM(C10+K10+S10+AA10+AI10+AQ10+AY10+BG10+BO10+BW10+CE10+CM10)</f>
        <v>8383910</v>
      </c>
      <c r="CV10" s="309">
        <f>SUM(D10+L10+T10+AB10+AJ10+AR10+AZ10+BH10+BP10+BX10+CF10+CN10)</f>
        <v>12600</v>
      </c>
      <c r="CW10" s="309">
        <f>SUM(E10+M10+U10+AC10+AK10+AS10+BA10+BI10+BQ10+BY10+CG10+CO10)</f>
        <v>12600</v>
      </c>
      <c r="CX10" s="309">
        <f>SUM(F10+N10+V10+AD10+AL10+AT10+BB10+BJ10+BR10+BZ10+CH10+CP10)</f>
        <v>297257</v>
      </c>
      <c r="CY10" s="309">
        <f>SUM(G10+O10+W10+AE10+AM10+AU10+BC10+BK10+BS10+CA10+CI10+CQ10)</f>
        <v>638757</v>
      </c>
      <c r="CZ10" s="309"/>
      <c r="DA10" s="309">
        <f>+CU10-(SUM(CV10:CZ10))</f>
        <v>7422696</v>
      </c>
      <c r="DB10" s="509"/>
    </row>
    <row r="11" spans="1:106" s="313" customFormat="1" ht="20.25" customHeight="1" x14ac:dyDescent="0.2">
      <c r="A11" s="307">
        <v>2</v>
      </c>
      <c r="B11" s="308" t="s">
        <v>360</v>
      </c>
      <c r="C11" s="312">
        <v>0</v>
      </c>
      <c r="D11" s="312">
        <v>0</v>
      </c>
      <c r="E11" s="312">
        <v>0</v>
      </c>
      <c r="F11" s="312">
        <v>0</v>
      </c>
      <c r="G11" s="312">
        <v>0</v>
      </c>
      <c r="H11" s="312"/>
      <c r="I11" s="309">
        <f t="shared" ref="I11:I26" si="0">+C11-(SUM(D11:H11))</f>
        <v>0</v>
      </c>
      <c r="J11" s="309"/>
      <c r="K11" s="312">
        <v>0</v>
      </c>
      <c r="L11" s="312">
        <v>0</v>
      </c>
      <c r="M11" s="312">
        <v>0</v>
      </c>
      <c r="N11" s="312">
        <v>0</v>
      </c>
      <c r="O11" s="312">
        <v>0</v>
      </c>
      <c r="P11" s="312"/>
      <c r="Q11" s="309">
        <f t="shared" ref="Q11:Q26" si="1">+K11-(SUM(L11:P11))</f>
        <v>0</v>
      </c>
      <c r="R11" s="309"/>
      <c r="S11" s="309">
        <v>0</v>
      </c>
      <c r="T11" s="309">
        <v>0</v>
      </c>
      <c r="U11" s="309">
        <v>0</v>
      </c>
      <c r="V11" s="309">
        <v>0</v>
      </c>
      <c r="W11" s="309">
        <v>0</v>
      </c>
      <c r="X11" s="309"/>
      <c r="Y11" s="309">
        <f t="shared" ref="Y11:Y26" si="2">+S11-(SUM(T11:X11))</f>
        <v>0</v>
      </c>
      <c r="Z11" s="309"/>
      <c r="AA11" s="309">
        <v>0</v>
      </c>
      <c r="AB11" s="309">
        <v>0</v>
      </c>
      <c r="AC11" s="309">
        <v>0</v>
      </c>
      <c r="AD11" s="309">
        <v>0</v>
      </c>
      <c r="AE11" s="309">
        <v>0</v>
      </c>
      <c r="AF11" s="309"/>
      <c r="AG11" s="309">
        <f t="shared" ref="AG11:AG24" si="3">+AA11-(SUM(AB11:AF11))</f>
        <v>0</v>
      </c>
      <c r="AH11" s="309"/>
      <c r="AI11" s="309">
        <v>0</v>
      </c>
      <c r="AJ11" s="309">
        <v>0</v>
      </c>
      <c r="AK11" s="309">
        <v>0</v>
      </c>
      <c r="AL11" s="309">
        <v>0</v>
      </c>
      <c r="AM11" s="309">
        <v>0</v>
      </c>
      <c r="AN11" s="309"/>
      <c r="AO11" s="309">
        <f t="shared" ref="AO11:AO25" si="4">+AI11-(SUM(AJ11:AN11))</f>
        <v>0</v>
      </c>
      <c r="AP11" s="309"/>
      <c r="AQ11" s="309">
        <v>335000</v>
      </c>
      <c r="AR11" s="309">
        <v>0</v>
      </c>
      <c r="AS11" s="309">
        <v>0</v>
      </c>
      <c r="AT11" s="309">
        <v>4750</v>
      </c>
      <c r="AU11" s="309">
        <v>4750</v>
      </c>
      <c r="AV11" s="309"/>
      <c r="AW11" s="309">
        <f t="shared" ref="AW11:AW25" si="5">+AQ11-(SUM(AR11:AV11))</f>
        <v>325500</v>
      </c>
      <c r="AX11" s="309"/>
      <c r="AY11" s="309">
        <v>0</v>
      </c>
      <c r="AZ11" s="309">
        <v>0</v>
      </c>
      <c r="BA11" s="309">
        <v>0</v>
      </c>
      <c r="BB11" s="309">
        <v>0</v>
      </c>
      <c r="BC11" s="309">
        <v>0</v>
      </c>
      <c r="BD11" s="309"/>
      <c r="BE11" s="309">
        <f t="shared" ref="BE11:BE25" si="6">+AY11-(SUM(AZ11:BD11))</f>
        <v>0</v>
      </c>
      <c r="BF11" s="309"/>
      <c r="BG11" s="309">
        <v>0</v>
      </c>
      <c r="BH11" s="309">
        <v>0</v>
      </c>
      <c r="BI11" s="309">
        <v>0</v>
      </c>
      <c r="BJ11" s="309">
        <v>0</v>
      </c>
      <c r="BK11" s="309">
        <v>0</v>
      </c>
      <c r="BL11" s="309"/>
      <c r="BM11" s="309">
        <f t="shared" ref="BM11:BM25" si="7">+BG11-(SUM(BH11:BL11))</f>
        <v>0</v>
      </c>
      <c r="BN11" s="309"/>
      <c r="BO11" s="309">
        <v>0</v>
      </c>
      <c r="BP11" s="309">
        <v>0</v>
      </c>
      <c r="BQ11" s="309">
        <v>0</v>
      </c>
      <c r="BR11" s="309">
        <v>0</v>
      </c>
      <c r="BS11" s="309">
        <v>0</v>
      </c>
      <c r="BT11" s="309"/>
      <c r="BU11" s="309">
        <f t="shared" ref="BU11:BU25" si="8">+BO11-(SUM(BP11:BT11))</f>
        <v>0</v>
      </c>
      <c r="BV11" s="309"/>
      <c r="BW11" s="309">
        <v>16000</v>
      </c>
      <c r="BX11" s="309">
        <v>8000</v>
      </c>
      <c r="BY11" s="309">
        <v>8000</v>
      </c>
      <c r="BZ11" s="309">
        <v>0</v>
      </c>
      <c r="CA11" s="309">
        <v>0</v>
      </c>
      <c r="CB11" s="309"/>
      <c r="CC11" s="309">
        <f t="shared" ref="CC11:CC25" si="9">+BW11-(SUM(BX11:CB11))</f>
        <v>0</v>
      </c>
      <c r="CD11" s="309"/>
      <c r="CE11" s="309">
        <v>144000</v>
      </c>
      <c r="CF11" s="309">
        <v>0</v>
      </c>
      <c r="CG11" s="309">
        <v>0</v>
      </c>
      <c r="CH11" s="309">
        <v>0</v>
      </c>
      <c r="CI11" s="309">
        <v>0</v>
      </c>
      <c r="CJ11" s="309"/>
      <c r="CK11" s="309">
        <f t="shared" ref="CK11:CK25" si="10">+CE11-(SUM(CF11:CJ11))</f>
        <v>144000</v>
      </c>
      <c r="CL11" s="309"/>
      <c r="CM11" s="309">
        <v>616380</v>
      </c>
      <c r="CN11" s="309">
        <v>13200</v>
      </c>
      <c r="CO11" s="309">
        <v>13200</v>
      </c>
      <c r="CP11" s="309">
        <v>14619</v>
      </c>
      <c r="CQ11" s="309">
        <v>14619</v>
      </c>
      <c r="CR11" s="309"/>
      <c r="CS11" s="309">
        <f t="shared" ref="CS11:CS25" si="11">+CM11-(SUM(CN11:CR11))</f>
        <v>560742</v>
      </c>
      <c r="CT11" s="309"/>
      <c r="CU11" s="309">
        <f t="shared" ref="CU11:CY26" si="12">SUM(C11+K11+S11+AA11+AI11+AQ11+AY11+BG11+BO11+BW11+CE11+CM11)</f>
        <v>1111380</v>
      </c>
      <c r="CV11" s="309">
        <f t="shared" si="12"/>
        <v>21200</v>
      </c>
      <c r="CW11" s="309">
        <f t="shared" si="12"/>
        <v>21200</v>
      </c>
      <c r="CX11" s="309">
        <f t="shared" si="12"/>
        <v>19369</v>
      </c>
      <c r="CY11" s="309">
        <f t="shared" si="12"/>
        <v>19369</v>
      </c>
      <c r="CZ11" s="309"/>
      <c r="DA11" s="309">
        <f t="shared" ref="DA11:DA26" si="13">+CU11-(SUM(CV11:CZ11))</f>
        <v>1030242</v>
      </c>
      <c r="DB11" s="509"/>
    </row>
    <row r="12" spans="1:106" s="426" customFormat="1" ht="20.25" customHeight="1" x14ac:dyDescent="0.2">
      <c r="A12" s="307">
        <v>3</v>
      </c>
      <c r="B12" s="423" t="s">
        <v>2126</v>
      </c>
      <c r="C12" s="312">
        <v>142500</v>
      </c>
      <c r="D12" s="312">
        <v>0</v>
      </c>
      <c r="E12" s="312">
        <v>0</v>
      </c>
      <c r="F12" s="312">
        <v>7125</v>
      </c>
      <c r="G12" s="312">
        <v>7125</v>
      </c>
      <c r="H12" s="312"/>
      <c r="I12" s="309">
        <f t="shared" si="0"/>
        <v>128250</v>
      </c>
      <c r="J12" s="309"/>
      <c r="K12" s="312">
        <v>0</v>
      </c>
      <c r="L12" s="312">
        <v>0</v>
      </c>
      <c r="M12" s="312">
        <v>0</v>
      </c>
      <c r="N12" s="312">
        <v>0</v>
      </c>
      <c r="O12" s="312">
        <v>0</v>
      </c>
      <c r="P12" s="312"/>
      <c r="Q12" s="309">
        <f t="shared" si="1"/>
        <v>0</v>
      </c>
      <c r="R12" s="309"/>
      <c r="S12" s="309">
        <v>0</v>
      </c>
      <c r="T12" s="309">
        <v>0</v>
      </c>
      <c r="U12" s="309">
        <v>0</v>
      </c>
      <c r="V12" s="309">
        <v>0</v>
      </c>
      <c r="W12" s="309">
        <v>0</v>
      </c>
      <c r="X12" s="309"/>
      <c r="Y12" s="309">
        <f t="shared" si="2"/>
        <v>0</v>
      </c>
      <c r="Z12" s="309"/>
      <c r="AA12" s="309">
        <v>0</v>
      </c>
      <c r="AB12" s="309">
        <v>0</v>
      </c>
      <c r="AC12" s="309">
        <v>0</v>
      </c>
      <c r="AD12" s="309">
        <v>0</v>
      </c>
      <c r="AE12" s="309">
        <v>0</v>
      </c>
      <c r="AF12" s="309"/>
      <c r="AG12" s="309">
        <f t="shared" si="3"/>
        <v>0</v>
      </c>
      <c r="AH12" s="309"/>
      <c r="AI12" s="309">
        <v>0</v>
      </c>
      <c r="AJ12" s="309">
        <v>0</v>
      </c>
      <c r="AK12" s="309">
        <v>0</v>
      </c>
      <c r="AL12" s="309">
        <v>0</v>
      </c>
      <c r="AM12" s="309">
        <v>0</v>
      </c>
      <c r="AN12" s="309"/>
      <c r="AO12" s="309">
        <f t="shared" si="4"/>
        <v>0</v>
      </c>
      <c r="AP12" s="309"/>
      <c r="AQ12" s="309">
        <v>0</v>
      </c>
      <c r="AR12" s="309">
        <v>0</v>
      </c>
      <c r="AS12" s="309">
        <v>0</v>
      </c>
      <c r="AT12" s="309">
        <v>0</v>
      </c>
      <c r="AU12" s="309">
        <v>0</v>
      </c>
      <c r="AV12" s="309"/>
      <c r="AW12" s="309">
        <f t="shared" si="5"/>
        <v>0</v>
      </c>
      <c r="AX12" s="309"/>
      <c r="AY12" s="309">
        <v>0</v>
      </c>
      <c r="AZ12" s="309">
        <v>0</v>
      </c>
      <c r="BA12" s="309">
        <v>0</v>
      </c>
      <c r="BB12" s="309">
        <v>0</v>
      </c>
      <c r="BC12" s="309">
        <v>0</v>
      </c>
      <c r="BD12" s="309"/>
      <c r="BE12" s="309">
        <f t="shared" si="6"/>
        <v>0</v>
      </c>
      <c r="BF12" s="309"/>
      <c r="BG12" s="309">
        <v>209000</v>
      </c>
      <c r="BH12" s="309">
        <v>0</v>
      </c>
      <c r="BI12" s="309">
        <v>0</v>
      </c>
      <c r="BJ12" s="309">
        <v>8950</v>
      </c>
      <c r="BK12" s="309">
        <v>8950</v>
      </c>
      <c r="BL12" s="309"/>
      <c r="BM12" s="309">
        <f t="shared" si="7"/>
        <v>191100</v>
      </c>
      <c r="BN12" s="309"/>
      <c r="BO12" s="309">
        <v>0</v>
      </c>
      <c r="BP12" s="309">
        <v>0</v>
      </c>
      <c r="BQ12" s="309">
        <v>0</v>
      </c>
      <c r="BR12" s="309">
        <v>0</v>
      </c>
      <c r="BS12" s="309">
        <v>0</v>
      </c>
      <c r="BT12" s="309"/>
      <c r="BU12" s="309">
        <f t="shared" si="8"/>
        <v>0</v>
      </c>
      <c r="BV12" s="309"/>
      <c r="BW12" s="309">
        <v>0</v>
      </c>
      <c r="BX12" s="309">
        <v>0</v>
      </c>
      <c r="BY12" s="309">
        <v>0</v>
      </c>
      <c r="BZ12" s="309">
        <v>0</v>
      </c>
      <c r="CA12" s="309">
        <v>0</v>
      </c>
      <c r="CB12" s="309"/>
      <c r="CC12" s="309">
        <f t="shared" si="9"/>
        <v>0</v>
      </c>
      <c r="CD12" s="309"/>
      <c r="CE12" s="309">
        <v>0</v>
      </c>
      <c r="CF12" s="309">
        <v>0</v>
      </c>
      <c r="CG12" s="309">
        <v>0</v>
      </c>
      <c r="CH12" s="309">
        <v>0</v>
      </c>
      <c r="CI12" s="309">
        <v>0</v>
      </c>
      <c r="CJ12" s="309"/>
      <c r="CK12" s="309">
        <f t="shared" si="10"/>
        <v>0</v>
      </c>
      <c r="CL12" s="309"/>
      <c r="CM12" s="309">
        <v>30000</v>
      </c>
      <c r="CN12" s="309">
        <v>0</v>
      </c>
      <c r="CO12" s="309">
        <v>0</v>
      </c>
      <c r="CP12" s="309">
        <v>0</v>
      </c>
      <c r="CQ12" s="309">
        <v>0</v>
      </c>
      <c r="CR12" s="309"/>
      <c r="CS12" s="309">
        <f t="shared" si="11"/>
        <v>30000</v>
      </c>
      <c r="CT12" s="309"/>
      <c r="CU12" s="309">
        <f t="shared" si="12"/>
        <v>381500</v>
      </c>
      <c r="CV12" s="309">
        <f t="shared" si="12"/>
        <v>0</v>
      </c>
      <c r="CW12" s="309">
        <f t="shared" si="12"/>
        <v>0</v>
      </c>
      <c r="CX12" s="309">
        <f t="shared" si="12"/>
        <v>16075</v>
      </c>
      <c r="CY12" s="309">
        <f t="shared" si="12"/>
        <v>16075</v>
      </c>
      <c r="CZ12" s="309"/>
      <c r="DA12" s="309">
        <f t="shared" si="13"/>
        <v>349350</v>
      </c>
      <c r="DB12" s="509"/>
    </row>
    <row r="13" spans="1:106" s="426" customFormat="1" ht="20.25" customHeight="1" x14ac:dyDescent="0.2">
      <c r="A13" s="307">
        <v>4</v>
      </c>
      <c r="B13" s="423" t="s">
        <v>161</v>
      </c>
      <c r="C13" s="312">
        <v>0</v>
      </c>
      <c r="D13" s="312">
        <v>0</v>
      </c>
      <c r="E13" s="312">
        <v>0</v>
      </c>
      <c r="F13" s="312">
        <v>0</v>
      </c>
      <c r="G13" s="312">
        <v>0</v>
      </c>
      <c r="H13" s="312"/>
      <c r="I13" s="309">
        <f t="shared" si="0"/>
        <v>0</v>
      </c>
      <c r="J13" s="309"/>
      <c r="K13" s="312">
        <v>52500</v>
      </c>
      <c r="L13" s="312">
        <v>2625</v>
      </c>
      <c r="M13" s="312">
        <v>2625</v>
      </c>
      <c r="N13" s="312">
        <v>0</v>
      </c>
      <c r="O13" s="312">
        <v>0</v>
      </c>
      <c r="P13" s="312"/>
      <c r="Q13" s="309">
        <f t="shared" si="1"/>
        <v>47250</v>
      </c>
      <c r="R13" s="309"/>
      <c r="S13" s="309">
        <v>95000</v>
      </c>
      <c r="T13" s="309">
        <v>0</v>
      </c>
      <c r="U13" s="309">
        <v>0</v>
      </c>
      <c r="V13" s="309">
        <v>4750</v>
      </c>
      <c r="W13" s="309">
        <v>4750</v>
      </c>
      <c r="X13" s="309"/>
      <c r="Y13" s="309">
        <f t="shared" si="2"/>
        <v>85500</v>
      </c>
      <c r="Z13" s="309"/>
      <c r="AA13" s="309">
        <v>342000</v>
      </c>
      <c r="AB13" s="309">
        <v>0</v>
      </c>
      <c r="AC13" s="309">
        <v>0</v>
      </c>
      <c r="AD13" s="309">
        <v>28038.5</v>
      </c>
      <c r="AE13" s="309">
        <v>28038.5</v>
      </c>
      <c r="AF13" s="309"/>
      <c r="AG13" s="309">
        <v>285923</v>
      </c>
      <c r="AH13" s="309"/>
      <c r="AI13" s="309">
        <v>132525</v>
      </c>
      <c r="AJ13" s="309">
        <v>0</v>
      </c>
      <c r="AK13" s="309">
        <v>0</v>
      </c>
      <c r="AL13" s="309">
        <v>6626.25</v>
      </c>
      <c r="AM13" s="309">
        <v>6626.25</v>
      </c>
      <c r="AN13" s="309"/>
      <c r="AO13" s="309">
        <v>119272.5</v>
      </c>
      <c r="AP13" s="309"/>
      <c r="AQ13" s="309">
        <v>430500</v>
      </c>
      <c r="AR13" s="309">
        <v>0</v>
      </c>
      <c r="AS13" s="309">
        <v>0</v>
      </c>
      <c r="AT13" s="309">
        <v>12825</v>
      </c>
      <c r="AU13" s="309">
        <v>12825</v>
      </c>
      <c r="AV13" s="309"/>
      <c r="AW13" s="309">
        <f t="shared" si="5"/>
        <v>404850</v>
      </c>
      <c r="AX13" s="309"/>
      <c r="AY13" s="309">
        <v>0</v>
      </c>
      <c r="AZ13" s="309">
        <v>0</v>
      </c>
      <c r="BA13" s="309">
        <v>0</v>
      </c>
      <c r="BB13" s="309">
        <v>0</v>
      </c>
      <c r="BC13" s="309">
        <v>0</v>
      </c>
      <c r="BD13" s="309"/>
      <c r="BE13" s="309">
        <f t="shared" si="6"/>
        <v>0</v>
      </c>
      <c r="BF13" s="309"/>
      <c r="BG13" s="309">
        <v>2693409</v>
      </c>
      <c r="BH13" s="309">
        <v>0</v>
      </c>
      <c r="BI13" s="309">
        <v>0</v>
      </c>
      <c r="BJ13" s="309">
        <v>7972.5</v>
      </c>
      <c r="BK13" s="309">
        <v>7972.5</v>
      </c>
      <c r="BL13" s="309"/>
      <c r="BM13" s="309">
        <f t="shared" si="7"/>
        <v>2677464</v>
      </c>
      <c r="BN13" s="309"/>
      <c r="BO13" s="309">
        <v>0</v>
      </c>
      <c r="BP13" s="309">
        <v>0</v>
      </c>
      <c r="BQ13" s="309">
        <v>0</v>
      </c>
      <c r="BR13" s="309">
        <v>0</v>
      </c>
      <c r="BS13" s="309">
        <v>0</v>
      </c>
      <c r="BT13" s="309"/>
      <c r="BU13" s="309">
        <f t="shared" si="8"/>
        <v>0</v>
      </c>
      <c r="BV13" s="309"/>
      <c r="BW13" s="309">
        <v>55000</v>
      </c>
      <c r="BX13" s="309">
        <v>0</v>
      </c>
      <c r="BY13" s="309">
        <v>0</v>
      </c>
      <c r="BZ13" s="309">
        <v>0</v>
      </c>
      <c r="CA13" s="309">
        <v>0</v>
      </c>
      <c r="CB13" s="309"/>
      <c r="CC13" s="309">
        <f t="shared" si="9"/>
        <v>55000</v>
      </c>
      <c r="CD13" s="309"/>
      <c r="CE13" s="309">
        <v>0</v>
      </c>
      <c r="CF13" s="309">
        <v>0</v>
      </c>
      <c r="CG13" s="309">
        <v>0</v>
      </c>
      <c r="CH13" s="309">
        <v>0</v>
      </c>
      <c r="CI13" s="309">
        <v>0</v>
      </c>
      <c r="CJ13" s="309"/>
      <c r="CK13" s="309">
        <f t="shared" si="10"/>
        <v>0</v>
      </c>
      <c r="CL13" s="309"/>
      <c r="CM13" s="309">
        <v>1046000</v>
      </c>
      <c r="CN13" s="309">
        <v>0</v>
      </c>
      <c r="CO13" s="309">
        <v>0</v>
      </c>
      <c r="CP13" s="309">
        <v>7125</v>
      </c>
      <c r="CQ13" s="309">
        <v>340125</v>
      </c>
      <c r="CR13" s="309"/>
      <c r="CS13" s="309">
        <f t="shared" si="11"/>
        <v>698750</v>
      </c>
      <c r="CT13" s="309"/>
      <c r="CU13" s="309">
        <f t="shared" si="12"/>
        <v>4846934</v>
      </c>
      <c r="CV13" s="309">
        <f t="shared" si="12"/>
        <v>2625</v>
      </c>
      <c r="CW13" s="309">
        <f t="shared" si="12"/>
        <v>2625</v>
      </c>
      <c r="CX13" s="309">
        <f t="shared" si="12"/>
        <v>67337.25</v>
      </c>
      <c r="CY13" s="309">
        <f t="shared" si="12"/>
        <v>400337.25</v>
      </c>
      <c r="CZ13" s="309"/>
      <c r="DA13" s="309">
        <f t="shared" si="13"/>
        <v>4374009.5</v>
      </c>
      <c r="DB13" s="509"/>
    </row>
    <row r="14" spans="1:106" s="429" customFormat="1" ht="20.25" customHeight="1" x14ac:dyDescent="0.2">
      <c r="A14" s="307">
        <v>5</v>
      </c>
      <c r="B14" s="427" t="s">
        <v>156</v>
      </c>
      <c r="C14" s="312">
        <v>0</v>
      </c>
      <c r="D14" s="312">
        <v>0</v>
      </c>
      <c r="E14" s="312">
        <v>0</v>
      </c>
      <c r="F14" s="312">
        <v>0</v>
      </c>
      <c r="G14" s="312">
        <v>0</v>
      </c>
      <c r="H14" s="312"/>
      <c r="I14" s="309">
        <f t="shared" si="0"/>
        <v>0</v>
      </c>
      <c r="J14" s="309"/>
      <c r="K14" s="312">
        <v>1600000</v>
      </c>
      <c r="L14" s="312">
        <v>0</v>
      </c>
      <c r="M14" s="312">
        <v>0</v>
      </c>
      <c r="N14" s="312">
        <v>50000</v>
      </c>
      <c r="O14" s="312">
        <v>50000</v>
      </c>
      <c r="P14" s="312"/>
      <c r="Q14" s="309">
        <f t="shared" si="1"/>
        <v>1500000</v>
      </c>
      <c r="R14" s="309"/>
      <c r="S14" s="309">
        <v>0</v>
      </c>
      <c r="T14" s="309">
        <v>0</v>
      </c>
      <c r="U14" s="309">
        <v>0</v>
      </c>
      <c r="V14" s="309">
        <v>0</v>
      </c>
      <c r="W14" s="309">
        <v>0</v>
      </c>
      <c r="X14" s="309"/>
      <c r="Y14" s="309">
        <f t="shared" si="2"/>
        <v>0</v>
      </c>
      <c r="Z14" s="309"/>
      <c r="AA14" s="309">
        <v>300000</v>
      </c>
      <c r="AB14" s="309">
        <v>0</v>
      </c>
      <c r="AC14" s="309">
        <v>0</v>
      </c>
      <c r="AD14" s="309">
        <v>0</v>
      </c>
      <c r="AE14" s="309">
        <v>0</v>
      </c>
      <c r="AF14" s="309"/>
      <c r="AG14" s="309">
        <v>300000</v>
      </c>
      <c r="AH14" s="309"/>
      <c r="AI14" s="309">
        <v>70000</v>
      </c>
      <c r="AJ14" s="309">
        <v>3500</v>
      </c>
      <c r="AK14" s="309">
        <v>3500</v>
      </c>
      <c r="AL14" s="309">
        <v>0</v>
      </c>
      <c r="AM14" s="309">
        <v>0</v>
      </c>
      <c r="AN14" s="309"/>
      <c r="AO14" s="309">
        <v>63000</v>
      </c>
      <c r="AP14" s="309"/>
      <c r="AQ14" s="309">
        <v>36765</v>
      </c>
      <c r="AR14" s="309">
        <v>0</v>
      </c>
      <c r="AS14" s="309">
        <v>0</v>
      </c>
      <c r="AT14" s="309">
        <v>0</v>
      </c>
      <c r="AU14" s="309">
        <v>0</v>
      </c>
      <c r="AV14" s="309"/>
      <c r="AW14" s="309">
        <f t="shared" si="5"/>
        <v>36765</v>
      </c>
      <c r="AX14" s="309"/>
      <c r="AY14" s="309">
        <v>0</v>
      </c>
      <c r="AZ14" s="309">
        <v>0</v>
      </c>
      <c r="BA14" s="309">
        <v>0</v>
      </c>
      <c r="BB14" s="309">
        <v>0</v>
      </c>
      <c r="BC14" s="309">
        <v>0</v>
      </c>
      <c r="BD14" s="309"/>
      <c r="BE14" s="309">
        <f t="shared" si="6"/>
        <v>0</v>
      </c>
      <c r="BF14" s="309"/>
      <c r="BG14" s="309">
        <v>0</v>
      </c>
      <c r="BH14" s="309">
        <v>0</v>
      </c>
      <c r="BI14" s="309">
        <v>0</v>
      </c>
      <c r="BJ14" s="309">
        <v>0</v>
      </c>
      <c r="BK14" s="309">
        <v>0</v>
      </c>
      <c r="BL14" s="309"/>
      <c r="BM14" s="309">
        <f t="shared" si="7"/>
        <v>0</v>
      </c>
      <c r="BN14" s="309"/>
      <c r="BO14" s="309">
        <v>0</v>
      </c>
      <c r="BP14" s="309">
        <v>0</v>
      </c>
      <c r="BQ14" s="309">
        <v>0</v>
      </c>
      <c r="BR14" s="309">
        <v>0</v>
      </c>
      <c r="BS14" s="309">
        <v>0</v>
      </c>
      <c r="BT14" s="309"/>
      <c r="BU14" s="309">
        <f t="shared" si="8"/>
        <v>0</v>
      </c>
      <c r="BV14" s="309"/>
      <c r="BW14" s="309">
        <v>24500</v>
      </c>
      <c r="BX14" s="309">
        <v>1225</v>
      </c>
      <c r="BY14" s="309">
        <v>1225</v>
      </c>
      <c r="BZ14" s="309">
        <v>0</v>
      </c>
      <c r="CA14" s="309">
        <v>0</v>
      </c>
      <c r="CB14" s="309"/>
      <c r="CC14" s="309">
        <f t="shared" si="9"/>
        <v>22050</v>
      </c>
      <c r="CD14" s="309"/>
      <c r="CE14" s="309">
        <v>0</v>
      </c>
      <c r="CF14" s="309">
        <v>0</v>
      </c>
      <c r="CG14" s="309">
        <v>0</v>
      </c>
      <c r="CH14" s="309">
        <v>0</v>
      </c>
      <c r="CI14" s="309">
        <v>0</v>
      </c>
      <c r="CJ14" s="309"/>
      <c r="CK14" s="309">
        <f t="shared" si="10"/>
        <v>0</v>
      </c>
      <c r="CL14" s="309"/>
      <c r="CM14" s="309">
        <v>120000</v>
      </c>
      <c r="CN14" s="309">
        <v>6000</v>
      </c>
      <c r="CO14" s="309">
        <v>6000</v>
      </c>
      <c r="CP14" s="309">
        <v>0</v>
      </c>
      <c r="CQ14" s="309">
        <v>0</v>
      </c>
      <c r="CR14" s="309"/>
      <c r="CS14" s="309">
        <f t="shared" si="11"/>
        <v>108000</v>
      </c>
      <c r="CT14" s="309"/>
      <c r="CU14" s="309">
        <f t="shared" si="12"/>
        <v>2151265</v>
      </c>
      <c r="CV14" s="309">
        <f t="shared" si="12"/>
        <v>10725</v>
      </c>
      <c r="CW14" s="309">
        <f t="shared" si="12"/>
        <v>10725</v>
      </c>
      <c r="CX14" s="309">
        <f t="shared" si="12"/>
        <v>50000</v>
      </c>
      <c r="CY14" s="309">
        <f t="shared" si="12"/>
        <v>50000</v>
      </c>
      <c r="CZ14" s="309"/>
      <c r="DA14" s="309">
        <f t="shared" si="13"/>
        <v>2029815</v>
      </c>
      <c r="DB14" s="509"/>
    </row>
    <row r="15" spans="1:106" s="313" customFormat="1" ht="20.25" customHeight="1" x14ac:dyDescent="0.2">
      <c r="A15" s="307">
        <v>6</v>
      </c>
      <c r="B15" s="308" t="s">
        <v>2434</v>
      </c>
      <c r="C15" s="312">
        <v>0</v>
      </c>
      <c r="D15" s="312">
        <v>0</v>
      </c>
      <c r="E15" s="312">
        <v>0</v>
      </c>
      <c r="F15" s="312">
        <v>0</v>
      </c>
      <c r="G15" s="312">
        <v>0</v>
      </c>
      <c r="H15" s="312"/>
      <c r="I15" s="309">
        <f t="shared" si="0"/>
        <v>0</v>
      </c>
      <c r="J15" s="309"/>
      <c r="K15" s="312">
        <v>100000</v>
      </c>
      <c r="L15" s="312">
        <v>5000</v>
      </c>
      <c r="M15" s="312">
        <v>5000</v>
      </c>
      <c r="N15" s="312">
        <v>0</v>
      </c>
      <c r="O15" s="312">
        <v>0</v>
      </c>
      <c r="P15" s="312"/>
      <c r="Q15" s="309">
        <f t="shared" si="1"/>
        <v>90000</v>
      </c>
      <c r="R15" s="309"/>
      <c r="S15" s="309">
        <v>405271.2</v>
      </c>
      <c r="T15" s="309">
        <v>30981.699999999997</v>
      </c>
      <c r="U15" s="309">
        <v>30981.699999999997</v>
      </c>
      <c r="V15" s="309">
        <v>0</v>
      </c>
      <c r="W15" s="309">
        <v>0</v>
      </c>
      <c r="X15" s="309"/>
      <c r="Y15" s="309">
        <f t="shared" si="2"/>
        <v>343307.80000000005</v>
      </c>
      <c r="Z15" s="309"/>
      <c r="AA15" s="309">
        <v>625950</v>
      </c>
      <c r="AB15" s="309">
        <v>0</v>
      </c>
      <c r="AC15" s="309">
        <v>0</v>
      </c>
      <c r="AD15" s="309">
        <v>12825</v>
      </c>
      <c r="AE15" s="309">
        <v>12825</v>
      </c>
      <c r="AF15" s="309"/>
      <c r="AG15" s="309">
        <v>600300</v>
      </c>
      <c r="AH15" s="309"/>
      <c r="AI15" s="309">
        <v>201200</v>
      </c>
      <c r="AJ15" s="309">
        <v>0</v>
      </c>
      <c r="AK15" s="309">
        <v>0</v>
      </c>
      <c r="AL15" s="309">
        <v>39779.5</v>
      </c>
      <c r="AM15" s="309">
        <v>39779.5</v>
      </c>
      <c r="AN15" s="309"/>
      <c r="AO15" s="309">
        <v>121641</v>
      </c>
      <c r="AP15" s="309"/>
      <c r="AQ15" s="309">
        <v>98000</v>
      </c>
      <c r="AR15" s="309">
        <v>4900</v>
      </c>
      <c r="AS15" s="309">
        <v>4900</v>
      </c>
      <c r="AT15" s="309">
        <v>0</v>
      </c>
      <c r="AU15" s="309">
        <v>0</v>
      </c>
      <c r="AV15" s="309"/>
      <c r="AW15" s="309">
        <f t="shared" si="5"/>
        <v>88200</v>
      </c>
      <c r="AX15" s="309"/>
      <c r="AY15" s="309">
        <v>177555</v>
      </c>
      <c r="AZ15" s="309">
        <v>0</v>
      </c>
      <c r="BA15" s="309">
        <v>0</v>
      </c>
      <c r="BB15" s="309">
        <v>8677.8700000000008</v>
      </c>
      <c r="BC15" s="309">
        <v>8677.8700000000008</v>
      </c>
      <c r="BD15" s="309"/>
      <c r="BE15" s="309">
        <f t="shared" si="6"/>
        <v>160199.26</v>
      </c>
      <c r="BF15" s="309"/>
      <c r="BG15" s="309">
        <v>3217784</v>
      </c>
      <c r="BH15" s="309">
        <v>0</v>
      </c>
      <c r="BI15" s="309">
        <v>0</v>
      </c>
      <c r="BJ15" s="309">
        <v>13660</v>
      </c>
      <c r="BK15" s="309">
        <v>13660</v>
      </c>
      <c r="BL15" s="309"/>
      <c r="BM15" s="309">
        <f t="shared" si="7"/>
        <v>3190464</v>
      </c>
      <c r="BN15" s="309"/>
      <c r="BO15" s="309">
        <v>487000</v>
      </c>
      <c r="BP15" s="309">
        <v>600</v>
      </c>
      <c r="BQ15" s="309">
        <v>600</v>
      </c>
      <c r="BR15" s="309">
        <v>23750</v>
      </c>
      <c r="BS15" s="309">
        <v>23750</v>
      </c>
      <c r="BT15" s="309"/>
      <c r="BU15" s="309">
        <f t="shared" si="8"/>
        <v>438300</v>
      </c>
      <c r="BV15" s="309"/>
      <c r="BW15" s="309">
        <v>710718.28</v>
      </c>
      <c r="BX15" s="309">
        <v>38822.039000000004</v>
      </c>
      <c r="BY15" s="309">
        <v>38822.039000000004</v>
      </c>
      <c r="BZ15" s="309">
        <v>3300</v>
      </c>
      <c r="CA15" s="309">
        <v>3300</v>
      </c>
      <c r="CB15" s="309"/>
      <c r="CC15" s="309">
        <f t="shared" si="9"/>
        <v>626474.20200000005</v>
      </c>
      <c r="CD15" s="309"/>
      <c r="CE15" s="309">
        <v>1842800</v>
      </c>
      <c r="CF15" s="309">
        <v>0</v>
      </c>
      <c r="CG15" s="309">
        <v>0</v>
      </c>
      <c r="CH15" s="309">
        <v>0</v>
      </c>
      <c r="CI15" s="309">
        <v>0</v>
      </c>
      <c r="CJ15" s="309"/>
      <c r="CK15" s="309">
        <f t="shared" si="10"/>
        <v>1842800</v>
      </c>
      <c r="CL15" s="309"/>
      <c r="CM15" s="309">
        <v>1909627</v>
      </c>
      <c r="CN15" s="309">
        <v>1100</v>
      </c>
      <c r="CO15" s="309">
        <v>1100</v>
      </c>
      <c r="CP15" s="309">
        <v>16025</v>
      </c>
      <c r="CQ15" s="309">
        <v>289025</v>
      </c>
      <c r="CR15" s="309"/>
      <c r="CS15" s="309">
        <f t="shared" si="11"/>
        <v>1602377</v>
      </c>
      <c r="CT15" s="309"/>
      <c r="CU15" s="309">
        <f t="shared" si="12"/>
        <v>9775905.4800000004</v>
      </c>
      <c r="CV15" s="309">
        <f t="shared" si="12"/>
        <v>81403.739000000001</v>
      </c>
      <c r="CW15" s="309">
        <f t="shared" si="12"/>
        <v>81403.739000000001</v>
      </c>
      <c r="CX15" s="309">
        <f t="shared" si="12"/>
        <v>118017.37</v>
      </c>
      <c r="CY15" s="309">
        <f t="shared" si="12"/>
        <v>391017.37</v>
      </c>
      <c r="CZ15" s="309"/>
      <c r="DA15" s="309">
        <f t="shared" si="13"/>
        <v>9104063.2620000001</v>
      </c>
      <c r="DB15" s="509"/>
    </row>
    <row r="16" spans="1:106" s="313" customFormat="1" ht="20.25" customHeight="1" x14ac:dyDescent="0.2">
      <c r="A16" s="307">
        <v>7</v>
      </c>
      <c r="B16" s="308" t="s">
        <v>1229</v>
      </c>
      <c r="C16" s="312">
        <v>0</v>
      </c>
      <c r="D16" s="312">
        <v>0</v>
      </c>
      <c r="E16" s="312">
        <v>0</v>
      </c>
      <c r="F16" s="312">
        <v>0</v>
      </c>
      <c r="G16" s="312">
        <v>0</v>
      </c>
      <c r="H16" s="312"/>
      <c r="I16" s="309">
        <f t="shared" si="0"/>
        <v>0</v>
      </c>
      <c r="J16" s="309"/>
      <c r="K16" s="312">
        <v>0</v>
      </c>
      <c r="L16" s="312">
        <v>0</v>
      </c>
      <c r="M16" s="312">
        <v>0</v>
      </c>
      <c r="N16" s="312">
        <v>0</v>
      </c>
      <c r="O16" s="312">
        <v>0</v>
      </c>
      <c r="P16" s="312"/>
      <c r="Q16" s="309">
        <f t="shared" si="1"/>
        <v>0</v>
      </c>
      <c r="R16" s="309"/>
      <c r="S16" s="309">
        <v>0</v>
      </c>
      <c r="T16" s="309">
        <v>0</v>
      </c>
      <c r="U16" s="309">
        <v>0</v>
      </c>
      <c r="V16" s="309">
        <v>0</v>
      </c>
      <c r="W16" s="309">
        <v>0</v>
      </c>
      <c r="X16" s="309"/>
      <c r="Y16" s="309">
        <f t="shared" si="2"/>
        <v>0</v>
      </c>
      <c r="Z16" s="309"/>
      <c r="AA16" s="309">
        <v>0</v>
      </c>
      <c r="AB16" s="309">
        <v>0</v>
      </c>
      <c r="AC16" s="309">
        <v>0</v>
      </c>
      <c r="AD16" s="309">
        <v>0</v>
      </c>
      <c r="AE16" s="309">
        <v>0</v>
      </c>
      <c r="AF16" s="309"/>
      <c r="AG16" s="309">
        <f t="shared" si="3"/>
        <v>0</v>
      </c>
      <c r="AH16" s="309"/>
      <c r="AI16" s="309">
        <v>90000</v>
      </c>
      <c r="AJ16" s="309">
        <v>4500</v>
      </c>
      <c r="AK16" s="309">
        <v>4500</v>
      </c>
      <c r="AL16" s="309">
        <v>0</v>
      </c>
      <c r="AM16" s="309">
        <v>0</v>
      </c>
      <c r="AN16" s="309"/>
      <c r="AO16" s="309">
        <v>81000</v>
      </c>
      <c r="AP16" s="309"/>
      <c r="AQ16" s="309">
        <v>142500</v>
      </c>
      <c r="AR16" s="309">
        <v>0</v>
      </c>
      <c r="AS16" s="309">
        <v>0</v>
      </c>
      <c r="AT16" s="309">
        <v>7125</v>
      </c>
      <c r="AU16" s="309">
        <v>7125</v>
      </c>
      <c r="AV16" s="309"/>
      <c r="AW16" s="309">
        <f t="shared" si="5"/>
        <v>128250</v>
      </c>
      <c r="AX16" s="309"/>
      <c r="AY16" s="309">
        <v>0</v>
      </c>
      <c r="AZ16" s="309">
        <v>0</v>
      </c>
      <c r="BA16" s="309">
        <v>0</v>
      </c>
      <c r="BB16" s="309">
        <v>0</v>
      </c>
      <c r="BC16" s="309">
        <v>0</v>
      </c>
      <c r="BD16" s="309"/>
      <c r="BE16" s="309">
        <f t="shared" si="6"/>
        <v>0</v>
      </c>
      <c r="BF16" s="309"/>
      <c r="BG16" s="309">
        <v>0</v>
      </c>
      <c r="BH16" s="309">
        <v>0</v>
      </c>
      <c r="BI16" s="309">
        <v>0</v>
      </c>
      <c r="BJ16" s="309">
        <v>0</v>
      </c>
      <c r="BK16" s="309">
        <v>0</v>
      </c>
      <c r="BL16" s="309"/>
      <c r="BM16" s="309">
        <f t="shared" si="7"/>
        <v>0</v>
      </c>
      <c r="BN16" s="309"/>
      <c r="BO16" s="309">
        <v>0</v>
      </c>
      <c r="BP16" s="309">
        <v>0</v>
      </c>
      <c r="BQ16" s="309">
        <v>0</v>
      </c>
      <c r="BR16" s="309">
        <v>0</v>
      </c>
      <c r="BS16" s="309">
        <v>0</v>
      </c>
      <c r="BT16" s="309"/>
      <c r="BU16" s="309">
        <f t="shared" si="8"/>
        <v>0</v>
      </c>
      <c r="BV16" s="309"/>
      <c r="BW16" s="309">
        <v>0</v>
      </c>
      <c r="BX16" s="309">
        <v>0</v>
      </c>
      <c r="BY16" s="309">
        <v>0</v>
      </c>
      <c r="BZ16" s="309">
        <v>0</v>
      </c>
      <c r="CA16" s="309">
        <v>0</v>
      </c>
      <c r="CB16" s="309"/>
      <c r="CC16" s="309">
        <f t="shared" si="9"/>
        <v>0</v>
      </c>
      <c r="CD16" s="309"/>
      <c r="CE16" s="309">
        <v>90000</v>
      </c>
      <c r="CF16" s="309">
        <v>4500</v>
      </c>
      <c r="CG16" s="309">
        <v>4500</v>
      </c>
      <c r="CH16" s="309">
        <v>0</v>
      </c>
      <c r="CI16" s="309">
        <v>0</v>
      </c>
      <c r="CJ16" s="309"/>
      <c r="CK16" s="309">
        <f t="shared" si="10"/>
        <v>81000</v>
      </c>
      <c r="CL16" s="309"/>
      <c r="CM16" s="309">
        <v>142500</v>
      </c>
      <c r="CN16" s="309">
        <v>0</v>
      </c>
      <c r="CO16" s="309">
        <v>0</v>
      </c>
      <c r="CP16" s="309">
        <v>7125</v>
      </c>
      <c r="CQ16" s="309">
        <v>7125</v>
      </c>
      <c r="CR16" s="309"/>
      <c r="CS16" s="309">
        <f t="shared" si="11"/>
        <v>128250</v>
      </c>
      <c r="CT16" s="309"/>
      <c r="CU16" s="309">
        <f t="shared" si="12"/>
        <v>465000</v>
      </c>
      <c r="CV16" s="309">
        <f t="shared" si="12"/>
        <v>9000</v>
      </c>
      <c r="CW16" s="309">
        <f t="shared" si="12"/>
        <v>9000</v>
      </c>
      <c r="CX16" s="309">
        <f t="shared" si="12"/>
        <v>14250</v>
      </c>
      <c r="CY16" s="309">
        <f t="shared" si="12"/>
        <v>14250</v>
      </c>
      <c r="CZ16" s="309"/>
      <c r="DA16" s="309">
        <f t="shared" si="13"/>
        <v>418500</v>
      </c>
      <c r="DB16" s="509"/>
    </row>
    <row r="17" spans="1:106" s="313" customFormat="1" ht="20.25" customHeight="1" x14ac:dyDescent="0.2">
      <c r="A17" s="307">
        <v>8</v>
      </c>
      <c r="B17" s="308" t="s">
        <v>308</v>
      </c>
      <c r="C17" s="312">
        <v>0</v>
      </c>
      <c r="D17" s="312">
        <v>0</v>
      </c>
      <c r="E17" s="312">
        <v>0</v>
      </c>
      <c r="F17" s="312">
        <v>0</v>
      </c>
      <c r="G17" s="312">
        <v>0</v>
      </c>
      <c r="H17" s="312"/>
      <c r="I17" s="309">
        <f>+C17-(SUM(D17:H17))</f>
        <v>0</v>
      </c>
      <c r="J17" s="309"/>
      <c r="K17" s="312">
        <v>0</v>
      </c>
      <c r="L17" s="312">
        <v>0</v>
      </c>
      <c r="M17" s="312">
        <v>0</v>
      </c>
      <c r="N17" s="312">
        <v>0</v>
      </c>
      <c r="O17" s="312">
        <v>0</v>
      </c>
      <c r="P17" s="312"/>
      <c r="Q17" s="309">
        <f>+K17-(SUM(L17:P17))</f>
        <v>0</v>
      </c>
      <c r="R17" s="309"/>
      <c r="S17" s="309">
        <v>0</v>
      </c>
      <c r="T17" s="309">
        <v>0</v>
      </c>
      <c r="U17" s="309">
        <v>0</v>
      </c>
      <c r="V17" s="309">
        <v>0</v>
      </c>
      <c r="W17" s="309">
        <v>0</v>
      </c>
      <c r="X17" s="309"/>
      <c r="Y17" s="309">
        <f>+S17-(SUM(T17:X17))</f>
        <v>0</v>
      </c>
      <c r="Z17" s="309"/>
      <c r="AA17" s="309">
        <v>0</v>
      </c>
      <c r="AB17" s="309">
        <v>0</v>
      </c>
      <c r="AC17" s="309">
        <v>0</v>
      </c>
      <c r="AD17" s="309">
        <v>0</v>
      </c>
      <c r="AE17" s="309">
        <v>0</v>
      </c>
      <c r="AF17" s="309"/>
      <c r="AG17" s="309">
        <f>+AA17-(SUM(AB17:AF17))</f>
        <v>0</v>
      </c>
      <c r="AH17" s="309"/>
      <c r="AI17" s="309">
        <v>0</v>
      </c>
      <c r="AJ17" s="309">
        <v>0</v>
      </c>
      <c r="AK17" s="309">
        <v>0</v>
      </c>
      <c r="AL17" s="309">
        <v>0</v>
      </c>
      <c r="AM17" s="309">
        <v>0</v>
      </c>
      <c r="AN17" s="309"/>
      <c r="AO17" s="309">
        <v>0</v>
      </c>
      <c r="AP17" s="309"/>
      <c r="AQ17" s="309">
        <v>0</v>
      </c>
      <c r="AR17" s="309">
        <v>0</v>
      </c>
      <c r="AS17" s="309">
        <v>0</v>
      </c>
      <c r="AT17" s="309">
        <v>0</v>
      </c>
      <c r="AU17" s="309">
        <v>0</v>
      </c>
      <c r="AV17" s="309"/>
      <c r="AW17" s="309">
        <f t="shared" si="5"/>
        <v>0</v>
      </c>
      <c r="AX17" s="309"/>
      <c r="AY17" s="309">
        <v>0</v>
      </c>
      <c r="AZ17" s="309">
        <v>0</v>
      </c>
      <c r="BA17" s="309">
        <v>0</v>
      </c>
      <c r="BB17" s="309">
        <v>0</v>
      </c>
      <c r="BC17" s="309">
        <v>0</v>
      </c>
      <c r="BD17" s="309"/>
      <c r="BE17" s="309">
        <f t="shared" si="6"/>
        <v>0</v>
      </c>
      <c r="BF17" s="309"/>
      <c r="BG17" s="309">
        <v>0</v>
      </c>
      <c r="BH17" s="309">
        <v>0</v>
      </c>
      <c r="BI17" s="309">
        <v>0</v>
      </c>
      <c r="BJ17" s="309">
        <v>0</v>
      </c>
      <c r="BK17" s="309">
        <v>0</v>
      </c>
      <c r="BL17" s="309"/>
      <c r="BM17" s="309">
        <f t="shared" si="7"/>
        <v>0</v>
      </c>
      <c r="BN17" s="309"/>
      <c r="BO17" s="309">
        <v>91200</v>
      </c>
      <c r="BP17" s="309">
        <v>0</v>
      </c>
      <c r="BQ17" s="309">
        <v>0</v>
      </c>
      <c r="BR17" s="309">
        <v>0</v>
      </c>
      <c r="BS17" s="309">
        <v>0</v>
      </c>
      <c r="BT17" s="309"/>
      <c r="BU17" s="309">
        <f t="shared" si="8"/>
        <v>91200</v>
      </c>
      <c r="BV17" s="309"/>
      <c r="BW17" s="309">
        <v>0</v>
      </c>
      <c r="BX17" s="309">
        <v>0</v>
      </c>
      <c r="BY17" s="309">
        <v>0</v>
      </c>
      <c r="BZ17" s="309">
        <v>0</v>
      </c>
      <c r="CA17" s="309">
        <v>0</v>
      </c>
      <c r="CB17" s="309"/>
      <c r="CC17" s="309">
        <f>+BW17-(SUM(BX17:CB17))</f>
        <v>0</v>
      </c>
      <c r="CD17" s="309"/>
      <c r="CE17" s="309">
        <v>0</v>
      </c>
      <c r="CF17" s="309">
        <v>0</v>
      </c>
      <c r="CG17" s="309">
        <v>0</v>
      </c>
      <c r="CH17" s="309">
        <v>0</v>
      </c>
      <c r="CI17" s="309">
        <v>0</v>
      </c>
      <c r="CJ17" s="309"/>
      <c r="CK17" s="309">
        <f>+CE17-(SUM(CF17:CJ17))</f>
        <v>0</v>
      </c>
      <c r="CL17" s="309"/>
      <c r="CM17" s="309">
        <v>28800</v>
      </c>
      <c r="CN17" s="309">
        <v>0</v>
      </c>
      <c r="CO17" s="309">
        <v>0</v>
      </c>
      <c r="CP17" s="309">
        <v>0</v>
      </c>
      <c r="CQ17" s="309">
        <v>0</v>
      </c>
      <c r="CR17" s="309"/>
      <c r="CS17" s="309">
        <f>+CM17-(SUM(CN17:CR17))</f>
        <v>28800</v>
      </c>
      <c r="CT17" s="309"/>
      <c r="CU17" s="309">
        <f t="shared" si="12"/>
        <v>120000</v>
      </c>
      <c r="CV17" s="309">
        <f t="shared" si="12"/>
        <v>0</v>
      </c>
      <c r="CW17" s="309">
        <f t="shared" si="12"/>
        <v>0</v>
      </c>
      <c r="CX17" s="309">
        <f t="shared" si="12"/>
        <v>0</v>
      </c>
      <c r="CY17" s="309">
        <f t="shared" si="12"/>
        <v>0</v>
      </c>
      <c r="CZ17" s="309"/>
      <c r="DA17" s="309">
        <f t="shared" si="13"/>
        <v>120000</v>
      </c>
      <c r="DB17" s="509"/>
    </row>
    <row r="18" spans="1:106" s="313" customFormat="1" ht="20.25" customHeight="1" x14ac:dyDescent="0.2">
      <c r="A18" s="307">
        <v>9</v>
      </c>
      <c r="B18" s="308" t="s">
        <v>19</v>
      </c>
      <c r="C18" s="312">
        <v>100000</v>
      </c>
      <c r="D18" s="312">
        <v>5000</v>
      </c>
      <c r="E18" s="312">
        <v>5000</v>
      </c>
      <c r="F18" s="312">
        <v>0</v>
      </c>
      <c r="G18" s="312">
        <v>0</v>
      </c>
      <c r="H18" s="312"/>
      <c r="I18" s="309">
        <f t="shared" si="0"/>
        <v>90000</v>
      </c>
      <c r="J18" s="309"/>
      <c r="K18" s="312">
        <v>0</v>
      </c>
      <c r="L18" s="312">
        <v>0</v>
      </c>
      <c r="M18" s="312">
        <v>0</v>
      </c>
      <c r="N18" s="312">
        <v>0</v>
      </c>
      <c r="O18" s="312">
        <v>0</v>
      </c>
      <c r="P18" s="312"/>
      <c r="Q18" s="309">
        <f t="shared" si="1"/>
        <v>0</v>
      </c>
      <c r="R18" s="309"/>
      <c r="S18" s="309">
        <v>0</v>
      </c>
      <c r="T18" s="309">
        <v>0</v>
      </c>
      <c r="U18" s="309">
        <v>0</v>
      </c>
      <c r="V18" s="309">
        <v>0</v>
      </c>
      <c r="W18" s="309">
        <v>0</v>
      </c>
      <c r="X18" s="309"/>
      <c r="Y18" s="309">
        <f t="shared" si="2"/>
        <v>0</v>
      </c>
      <c r="Z18" s="309"/>
      <c r="AA18" s="309">
        <v>557600</v>
      </c>
      <c r="AB18" s="309">
        <v>0</v>
      </c>
      <c r="AC18" s="309">
        <v>0</v>
      </c>
      <c r="AD18" s="309">
        <v>13050</v>
      </c>
      <c r="AE18" s="309">
        <v>13050</v>
      </c>
      <c r="AF18" s="309"/>
      <c r="AG18" s="309">
        <v>531500</v>
      </c>
      <c r="AH18" s="309"/>
      <c r="AI18" s="309">
        <v>0</v>
      </c>
      <c r="AJ18" s="309">
        <v>0</v>
      </c>
      <c r="AK18" s="309">
        <v>0</v>
      </c>
      <c r="AL18" s="309">
        <v>0</v>
      </c>
      <c r="AM18" s="309">
        <v>0</v>
      </c>
      <c r="AN18" s="309"/>
      <c r="AO18" s="309">
        <f t="shared" si="4"/>
        <v>0</v>
      </c>
      <c r="AP18" s="309"/>
      <c r="AQ18" s="309">
        <v>170000</v>
      </c>
      <c r="AR18" s="309">
        <v>0</v>
      </c>
      <c r="AS18" s="309">
        <v>0</v>
      </c>
      <c r="AT18" s="309">
        <v>0</v>
      </c>
      <c r="AU18" s="309">
        <v>0</v>
      </c>
      <c r="AV18" s="309"/>
      <c r="AW18" s="309">
        <f t="shared" si="5"/>
        <v>170000</v>
      </c>
      <c r="AX18" s="309"/>
      <c r="AY18" s="309">
        <v>0</v>
      </c>
      <c r="AZ18" s="309">
        <v>0</v>
      </c>
      <c r="BA18" s="309">
        <v>0</v>
      </c>
      <c r="BB18" s="309">
        <v>0</v>
      </c>
      <c r="BC18" s="309">
        <v>0</v>
      </c>
      <c r="BD18" s="309"/>
      <c r="BE18" s="309">
        <f t="shared" si="6"/>
        <v>0</v>
      </c>
      <c r="BF18" s="309"/>
      <c r="BG18" s="309">
        <v>0</v>
      </c>
      <c r="BH18" s="309">
        <v>0</v>
      </c>
      <c r="BI18" s="309">
        <v>0</v>
      </c>
      <c r="BJ18" s="309">
        <v>0</v>
      </c>
      <c r="BK18" s="309">
        <v>0</v>
      </c>
      <c r="BL18" s="309"/>
      <c r="BM18" s="309">
        <f t="shared" si="7"/>
        <v>0</v>
      </c>
      <c r="BN18" s="309"/>
      <c r="BO18" s="309">
        <v>0</v>
      </c>
      <c r="BP18" s="309">
        <v>0</v>
      </c>
      <c r="BQ18" s="309">
        <v>0</v>
      </c>
      <c r="BR18" s="309">
        <v>0</v>
      </c>
      <c r="BS18" s="309">
        <v>0</v>
      </c>
      <c r="BT18" s="309"/>
      <c r="BU18" s="309">
        <f t="shared" si="8"/>
        <v>0</v>
      </c>
      <c r="BV18" s="309"/>
      <c r="BW18" s="309">
        <v>95000</v>
      </c>
      <c r="BX18" s="309">
        <v>0</v>
      </c>
      <c r="BY18" s="309">
        <v>0</v>
      </c>
      <c r="BZ18" s="309">
        <v>0</v>
      </c>
      <c r="CA18" s="309">
        <v>0</v>
      </c>
      <c r="CB18" s="309"/>
      <c r="CC18" s="309">
        <f t="shared" si="9"/>
        <v>95000</v>
      </c>
      <c r="CD18" s="309"/>
      <c r="CE18" s="309">
        <v>1001097</v>
      </c>
      <c r="CF18" s="309">
        <v>72709.650000000009</v>
      </c>
      <c r="CG18" s="309">
        <v>72709.650000000009</v>
      </c>
      <c r="CH18" s="309">
        <v>0</v>
      </c>
      <c r="CI18" s="309">
        <v>0</v>
      </c>
      <c r="CJ18" s="309"/>
      <c r="CK18" s="309">
        <f t="shared" si="10"/>
        <v>855677.7</v>
      </c>
      <c r="CL18" s="309"/>
      <c r="CM18" s="309">
        <v>694000</v>
      </c>
      <c r="CN18" s="309">
        <v>10000</v>
      </c>
      <c r="CO18" s="309">
        <v>10000</v>
      </c>
      <c r="CP18" s="309">
        <v>160000</v>
      </c>
      <c r="CQ18" s="309">
        <v>160000</v>
      </c>
      <c r="CR18" s="309"/>
      <c r="CS18" s="309">
        <f t="shared" si="11"/>
        <v>354000</v>
      </c>
      <c r="CT18" s="309"/>
      <c r="CU18" s="309">
        <f t="shared" si="12"/>
        <v>2617697</v>
      </c>
      <c r="CV18" s="309">
        <f t="shared" si="12"/>
        <v>87709.650000000009</v>
      </c>
      <c r="CW18" s="309">
        <f t="shared" si="12"/>
        <v>87709.650000000009</v>
      </c>
      <c r="CX18" s="309">
        <f t="shared" si="12"/>
        <v>173050</v>
      </c>
      <c r="CY18" s="309">
        <f t="shared" si="12"/>
        <v>173050</v>
      </c>
      <c r="CZ18" s="309"/>
      <c r="DA18" s="309">
        <f t="shared" si="13"/>
        <v>2096177.7</v>
      </c>
      <c r="DB18" s="509"/>
    </row>
    <row r="19" spans="1:106" s="313" customFormat="1" ht="20.25" customHeight="1" x14ac:dyDescent="0.2">
      <c r="A19" s="307">
        <v>10</v>
      </c>
      <c r="B19" s="308" t="s">
        <v>117</v>
      </c>
      <c r="C19" s="312">
        <v>0</v>
      </c>
      <c r="D19" s="312">
        <v>0</v>
      </c>
      <c r="E19" s="312">
        <v>0</v>
      </c>
      <c r="F19" s="312">
        <v>0</v>
      </c>
      <c r="G19" s="312">
        <v>0</v>
      </c>
      <c r="H19" s="312"/>
      <c r="I19" s="309">
        <f t="shared" si="0"/>
        <v>0</v>
      </c>
      <c r="J19" s="309"/>
      <c r="K19" s="312">
        <v>1183000</v>
      </c>
      <c r="L19" s="312">
        <v>59150</v>
      </c>
      <c r="M19" s="312">
        <v>59150</v>
      </c>
      <c r="N19" s="312">
        <v>0</v>
      </c>
      <c r="O19" s="312">
        <v>0</v>
      </c>
      <c r="P19" s="312"/>
      <c r="Q19" s="309">
        <f t="shared" si="1"/>
        <v>1064700</v>
      </c>
      <c r="R19" s="309"/>
      <c r="S19" s="309">
        <v>111000</v>
      </c>
      <c r="T19" s="309">
        <v>5550</v>
      </c>
      <c r="U19" s="309">
        <v>5550</v>
      </c>
      <c r="V19" s="309">
        <v>0</v>
      </c>
      <c r="W19" s="309">
        <v>0</v>
      </c>
      <c r="X19" s="309"/>
      <c r="Y19" s="309">
        <f t="shared" si="2"/>
        <v>99900</v>
      </c>
      <c r="Z19" s="309"/>
      <c r="AA19" s="309">
        <v>0</v>
      </c>
      <c r="AB19" s="309">
        <v>0</v>
      </c>
      <c r="AC19" s="309">
        <v>0</v>
      </c>
      <c r="AD19" s="309">
        <v>0</v>
      </c>
      <c r="AE19" s="309">
        <v>0</v>
      </c>
      <c r="AF19" s="309"/>
      <c r="AG19" s="309">
        <f t="shared" si="3"/>
        <v>0</v>
      </c>
      <c r="AH19" s="309"/>
      <c r="AI19" s="309">
        <v>247195</v>
      </c>
      <c r="AJ19" s="309">
        <v>1900</v>
      </c>
      <c r="AK19" s="309">
        <v>1900</v>
      </c>
      <c r="AL19" s="309">
        <v>30947.5</v>
      </c>
      <c r="AM19" s="309">
        <v>30947.5</v>
      </c>
      <c r="AN19" s="309"/>
      <c r="AO19" s="309">
        <v>181500</v>
      </c>
      <c r="AP19" s="309"/>
      <c r="AQ19" s="309">
        <v>0</v>
      </c>
      <c r="AR19" s="309">
        <v>0</v>
      </c>
      <c r="AS19" s="309">
        <v>0</v>
      </c>
      <c r="AT19" s="309">
        <v>0</v>
      </c>
      <c r="AU19" s="309">
        <v>0</v>
      </c>
      <c r="AV19" s="309"/>
      <c r="AW19" s="309">
        <f t="shared" si="5"/>
        <v>0</v>
      </c>
      <c r="AX19" s="309"/>
      <c r="AY19" s="309">
        <v>0</v>
      </c>
      <c r="AZ19" s="309">
        <v>0</v>
      </c>
      <c r="BA19" s="309">
        <v>0</v>
      </c>
      <c r="BB19" s="309">
        <v>0</v>
      </c>
      <c r="BC19" s="309">
        <v>0</v>
      </c>
      <c r="BD19" s="309"/>
      <c r="BE19" s="309">
        <f t="shared" si="6"/>
        <v>0</v>
      </c>
      <c r="BF19" s="309"/>
      <c r="BG19" s="309">
        <v>0</v>
      </c>
      <c r="BH19" s="309">
        <v>0</v>
      </c>
      <c r="BI19" s="309">
        <v>0</v>
      </c>
      <c r="BJ19" s="309">
        <v>0</v>
      </c>
      <c r="BK19" s="309">
        <v>0</v>
      </c>
      <c r="BL19" s="309"/>
      <c r="BM19" s="309">
        <f t="shared" si="7"/>
        <v>0</v>
      </c>
      <c r="BN19" s="309"/>
      <c r="BO19" s="309">
        <v>0</v>
      </c>
      <c r="BP19" s="309">
        <v>0</v>
      </c>
      <c r="BQ19" s="309">
        <v>0</v>
      </c>
      <c r="BR19" s="309">
        <v>0</v>
      </c>
      <c r="BS19" s="309">
        <v>0</v>
      </c>
      <c r="BT19" s="309"/>
      <c r="BU19" s="309">
        <f t="shared" si="8"/>
        <v>0</v>
      </c>
      <c r="BV19" s="309"/>
      <c r="BW19" s="309">
        <v>38000</v>
      </c>
      <c r="BX19" s="309">
        <v>0</v>
      </c>
      <c r="BY19" s="309">
        <v>0</v>
      </c>
      <c r="BZ19" s="309">
        <v>1900</v>
      </c>
      <c r="CA19" s="309">
        <v>1900</v>
      </c>
      <c r="CB19" s="309"/>
      <c r="CC19" s="309">
        <f t="shared" si="9"/>
        <v>34200</v>
      </c>
      <c r="CD19" s="309"/>
      <c r="CE19" s="309">
        <v>20000</v>
      </c>
      <c r="CF19" s="309">
        <v>0</v>
      </c>
      <c r="CG19" s="309">
        <v>0</v>
      </c>
      <c r="CH19" s="309">
        <v>1000</v>
      </c>
      <c r="CI19" s="309">
        <v>1000</v>
      </c>
      <c r="CJ19" s="309"/>
      <c r="CK19" s="309">
        <f t="shared" si="10"/>
        <v>18000</v>
      </c>
      <c r="CL19" s="309"/>
      <c r="CM19" s="309">
        <v>2672000</v>
      </c>
      <c r="CN19" s="309">
        <v>133600</v>
      </c>
      <c r="CO19" s="309">
        <v>133600</v>
      </c>
      <c r="CP19" s="309">
        <v>0</v>
      </c>
      <c r="CQ19" s="309">
        <v>0</v>
      </c>
      <c r="CR19" s="309"/>
      <c r="CS19" s="309">
        <f t="shared" si="11"/>
        <v>2404800</v>
      </c>
      <c r="CT19" s="309"/>
      <c r="CU19" s="309">
        <f t="shared" si="12"/>
        <v>4271195</v>
      </c>
      <c r="CV19" s="309">
        <f t="shared" si="12"/>
        <v>200200</v>
      </c>
      <c r="CW19" s="309">
        <f t="shared" si="12"/>
        <v>200200</v>
      </c>
      <c r="CX19" s="309">
        <f t="shared" si="12"/>
        <v>33847.5</v>
      </c>
      <c r="CY19" s="309">
        <f t="shared" si="12"/>
        <v>33847.5</v>
      </c>
      <c r="CZ19" s="309"/>
      <c r="DA19" s="309">
        <f t="shared" si="13"/>
        <v>3803100</v>
      </c>
      <c r="DB19" s="509"/>
    </row>
    <row r="20" spans="1:106" s="313" customFormat="1" ht="20.25" customHeight="1" x14ac:dyDescent="0.2">
      <c r="A20" s="307">
        <v>11</v>
      </c>
      <c r="B20" s="308" t="s">
        <v>3470</v>
      </c>
      <c r="C20" s="312">
        <v>0</v>
      </c>
      <c r="D20" s="312">
        <v>0</v>
      </c>
      <c r="E20" s="312">
        <v>0</v>
      </c>
      <c r="F20" s="312">
        <v>0</v>
      </c>
      <c r="G20" s="312">
        <v>0</v>
      </c>
      <c r="H20" s="312"/>
      <c r="I20" s="309">
        <f t="shared" si="0"/>
        <v>0</v>
      </c>
      <c r="J20" s="309"/>
      <c r="K20" s="312">
        <v>0</v>
      </c>
      <c r="L20" s="312">
        <v>0</v>
      </c>
      <c r="M20" s="312">
        <v>0</v>
      </c>
      <c r="N20" s="312">
        <v>0</v>
      </c>
      <c r="O20" s="312">
        <v>0</v>
      </c>
      <c r="P20" s="312"/>
      <c r="Q20" s="309">
        <f t="shared" si="1"/>
        <v>0</v>
      </c>
      <c r="R20" s="309"/>
      <c r="S20" s="309">
        <v>0</v>
      </c>
      <c r="T20" s="309">
        <v>0</v>
      </c>
      <c r="U20" s="309">
        <v>0</v>
      </c>
      <c r="V20" s="309">
        <v>0</v>
      </c>
      <c r="W20" s="309">
        <v>0</v>
      </c>
      <c r="X20" s="309"/>
      <c r="Y20" s="309">
        <f t="shared" si="2"/>
        <v>0</v>
      </c>
      <c r="Z20" s="309"/>
      <c r="AA20" s="309">
        <v>0</v>
      </c>
      <c r="AB20" s="309">
        <v>0</v>
      </c>
      <c r="AC20" s="309">
        <v>0</v>
      </c>
      <c r="AD20" s="309">
        <v>0</v>
      </c>
      <c r="AE20" s="309">
        <v>0</v>
      </c>
      <c r="AF20" s="309"/>
      <c r="AG20" s="309">
        <f t="shared" si="3"/>
        <v>0</v>
      </c>
      <c r="AH20" s="309"/>
      <c r="AI20" s="309">
        <v>0</v>
      </c>
      <c r="AJ20" s="309">
        <v>0</v>
      </c>
      <c r="AK20" s="309">
        <v>0</v>
      </c>
      <c r="AL20" s="309">
        <v>0</v>
      </c>
      <c r="AM20" s="309">
        <v>0</v>
      </c>
      <c r="AN20" s="309"/>
      <c r="AO20" s="309">
        <f t="shared" si="4"/>
        <v>0</v>
      </c>
      <c r="AP20" s="309"/>
      <c r="AQ20" s="309">
        <v>0</v>
      </c>
      <c r="AR20" s="309">
        <v>0</v>
      </c>
      <c r="AS20" s="309">
        <v>0</v>
      </c>
      <c r="AT20" s="309">
        <v>0</v>
      </c>
      <c r="AU20" s="309">
        <v>0</v>
      </c>
      <c r="AV20" s="309"/>
      <c r="AW20" s="309">
        <f t="shared" si="5"/>
        <v>0</v>
      </c>
      <c r="AX20" s="309"/>
      <c r="AY20" s="309">
        <v>0</v>
      </c>
      <c r="AZ20" s="309">
        <v>0</v>
      </c>
      <c r="BA20" s="309">
        <v>0</v>
      </c>
      <c r="BB20" s="309">
        <v>0</v>
      </c>
      <c r="BC20" s="309">
        <v>0</v>
      </c>
      <c r="BD20" s="309"/>
      <c r="BE20" s="309">
        <f t="shared" si="6"/>
        <v>0</v>
      </c>
      <c r="BF20" s="309"/>
      <c r="BG20" s="309">
        <v>1787050</v>
      </c>
      <c r="BH20" s="309">
        <v>0</v>
      </c>
      <c r="BI20" s="309">
        <v>0</v>
      </c>
      <c r="BJ20" s="309">
        <v>0</v>
      </c>
      <c r="BK20" s="309">
        <v>0</v>
      </c>
      <c r="BL20" s="309"/>
      <c r="BM20" s="309">
        <f t="shared" si="7"/>
        <v>1787050</v>
      </c>
      <c r="BN20" s="309"/>
      <c r="BO20" s="309">
        <v>0</v>
      </c>
      <c r="BP20" s="309">
        <v>0</v>
      </c>
      <c r="BQ20" s="309">
        <v>0</v>
      </c>
      <c r="BR20" s="309">
        <v>0</v>
      </c>
      <c r="BS20" s="309">
        <v>0</v>
      </c>
      <c r="BT20" s="309"/>
      <c r="BU20" s="309">
        <f t="shared" si="8"/>
        <v>0</v>
      </c>
      <c r="BV20" s="309"/>
      <c r="BW20" s="309">
        <v>0</v>
      </c>
      <c r="BX20" s="309">
        <v>0</v>
      </c>
      <c r="BY20" s="309">
        <v>0</v>
      </c>
      <c r="BZ20" s="309">
        <v>0</v>
      </c>
      <c r="CA20" s="309">
        <v>0</v>
      </c>
      <c r="CB20" s="309"/>
      <c r="CC20" s="309">
        <f t="shared" si="9"/>
        <v>0</v>
      </c>
      <c r="CD20" s="309"/>
      <c r="CE20" s="309">
        <v>0</v>
      </c>
      <c r="CF20" s="309">
        <v>0</v>
      </c>
      <c r="CG20" s="309">
        <v>0</v>
      </c>
      <c r="CH20" s="309">
        <v>0</v>
      </c>
      <c r="CI20" s="309">
        <v>0</v>
      </c>
      <c r="CJ20" s="309"/>
      <c r="CK20" s="309">
        <f t="shared" si="10"/>
        <v>0</v>
      </c>
      <c r="CL20" s="309"/>
      <c r="CM20" s="309">
        <v>528250</v>
      </c>
      <c r="CN20" s="309">
        <v>15000</v>
      </c>
      <c r="CO20" s="309">
        <v>15000</v>
      </c>
      <c r="CP20" s="309">
        <v>0</v>
      </c>
      <c r="CQ20" s="309">
        <v>102000</v>
      </c>
      <c r="CR20" s="309"/>
      <c r="CS20" s="309">
        <f t="shared" si="11"/>
        <v>396250</v>
      </c>
      <c r="CT20" s="309"/>
      <c r="CU20" s="309">
        <f t="shared" si="12"/>
        <v>2315300</v>
      </c>
      <c r="CV20" s="309">
        <f t="shared" si="12"/>
        <v>15000</v>
      </c>
      <c r="CW20" s="309">
        <f t="shared" si="12"/>
        <v>15000</v>
      </c>
      <c r="CX20" s="309">
        <f t="shared" si="12"/>
        <v>0</v>
      </c>
      <c r="CY20" s="309">
        <f t="shared" si="12"/>
        <v>102000</v>
      </c>
      <c r="CZ20" s="309"/>
      <c r="DA20" s="309">
        <f t="shared" si="13"/>
        <v>2183300</v>
      </c>
      <c r="DB20" s="509"/>
    </row>
    <row r="21" spans="1:106" s="313" customFormat="1" ht="20.25" customHeight="1" x14ac:dyDescent="0.2">
      <c r="A21" s="307">
        <v>12</v>
      </c>
      <c r="B21" s="308" t="s">
        <v>706</v>
      </c>
      <c r="C21" s="424">
        <v>0</v>
      </c>
      <c r="D21" s="424">
        <v>0</v>
      </c>
      <c r="E21" s="424">
        <v>0</v>
      </c>
      <c r="F21" s="424">
        <v>0</v>
      </c>
      <c r="G21" s="424">
        <v>0</v>
      </c>
      <c r="H21" s="312"/>
      <c r="I21" s="309">
        <f t="shared" si="0"/>
        <v>0</v>
      </c>
      <c r="J21" s="309"/>
      <c r="K21" s="424">
        <v>0</v>
      </c>
      <c r="L21" s="424">
        <v>0</v>
      </c>
      <c r="M21" s="424">
        <v>0</v>
      </c>
      <c r="N21" s="424">
        <v>0</v>
      </c>
      <c r="O21" s="424">
        <v>0</v>
      </c>
      <c r="P21" s="312"/>
      <c r="Q21" s="309">
        <f t="shared" si="1"/>
        <v>0</v>
      </c>
      <c r="R21" s="309"/>
      <c r="S21" s="309">
        <v>1402000</v>
      </c>
      <c r="T21" s="309">
        <v>0</v>
      </c>
      <c r="U21" s="309">
        <v>0</v>
      </c>
      <c r="V21" s="309">
        <v>0</v>
      </c>
      <c r="W21" s="309">
        <v>0</v>
      </c>
      <c r="X21" s="309"/>
      <c r="Y21" s="309">
        <f t="shared" si="2"/>
        <v>1402000</v>
      </c>
      <c r="Z21" s="309"/>
      <c r="AA21" s="309">
        <v>0</v>
      </c>
      <c r="AB21" s="309">
        <v>0</v>
      </c>
      <c r="AC21" s="309">
        <v>0</v>
      </c>
      <c r="AD21" s="309">
        <v>0</v>
      </c>
      <c r="AE21" s="309">
        <v>0</v>
      </c>
      <c r="AF21" s="309"/>
      <c r="AG21" s="309">
        <f t="shared" si="3"/>
        <v>0</v>
      </c>
      <c r="AH21" s="309"/>
      <c r="AI21" s="309">
        <v>1437532</v>
      </c>
      <c r="AJ21" s="309">
        <v>0</v>
      </c>
      <c r="AK21" s="309">
        <v>0</v>
      </c>
      <c r="AL21" s="309">
        <v>78916</v>
      </c>
      <c r="AM21" s="309">
        <v>78916</v>
      </c>
      <c r="AN21" s="309"/>
      <c r="AO21" s="309">
        <v>1279700</v>
      </c>
      <c r="AP21" s="309"/>
      <c r="AQ21" s="309">
        <v>0</v>
      </c>
      <c r="AR21" s="309">
        <v>0</v>
      </c>
      <c r="AS21" s="309">
        <v>0</v>
      </c>
      <c r="AT21" s="309">
        <v>0</v>
      </c>
      <c r="AU21" s="309">
        <v>0</v>
      </c>
      <c r="AV21" s="309"/>
      <c r="AW21" s="309">
        <f t="shared" si="5"/>
        <v>0</v>
      </c>
      <c r="AX21" s="309"/>
      <c r="AY21" s="309">
        <v>811100</v>
      </c>
      <c r="AZ21" s="309">
        <v>0</v>
      </c>
      <c r="BA21" s="309">
        <v>0</v>
      </c>
      <c r="BB21" s="309">
        <v>37855</v>
      </c>
      <c r="BC21" s="309">
        <v>37855</v>
      </c>
      <c r="BD21" s="309"/>
      <c r="BE21" s="309">
        <f t="shared" si="6"/>
        <v>735390</v>
      </c>
      <c r="BF21" s="309"/>
      <c r="BG21" s="309">
        <v>1938850</v>
      </c>
      <c r="BH21" s="309">
        <v>0</v>
      </c>
      <c r="BI21" s="309">
        <v>0</v>
      </c>
      <c r="BJ21" s="309">
        <v>17812.5</v>
      </c>
      <c r="BK21" s="309">
        <v>17812.5</v>
      </c>
      <c r="BL21" s="309"/>
      <c r="BM21" s="309">
        <f t="shared" si="7"/>
        <v>1903225</v>
      </c>
      <c r="BN21" s="309"/>
      <c r="BO21" s="309">
        <v>2347400</v>
      </c>
      <c r="BP21" s="309">
        <v>0</v>
      </c>
      <c r="BQ21" s="309">
        <v>0</v>
      </c>
      <c r="BR21" s="309">
        <v>0</v>
      </c>
      <c r="BS21" s="309">
        <v>0</v>
      </c>
      <c r="BT21" s="309"/>
      <c r="BU21" s="309">
        <f t="shared" si="8"/>
        <v>2347400</v>
      </c>
      <c r="BV21" s="309"/>
      <c r="BW21" s="309">
        <v>982200</v>
      </c>
      <c r="BX21" s="309">
        <v>0</v>
      </c>
      <c r="BY21" s="309">
        <v>0</v>
      </c>
      <c r="BZ21" s="309">
        <v>0</v>
      </c>
      <c r="CA21" s="309">
        <v>0</v>
      </c>
      <c r="CB21" s="309"/>
      <c r="CC21" s="309">
        <f t="shared" si="9"/>
        <v>982200</v>
      </c>
      <c r="CD21" s="309"/>
      <c r="CE21" s="309">
        <v>368250</v>
      </c>
      <c r="CF21" s="309">
        <v>0</v>
      </c>
      <c r="CG21" s="309">
        <v>0</v>
      </c>
      <c r="CH21" s="309">
        <v>18412.5</v>
      </c>
      <c r="CI21" s="309">
        <v>18412.5</v>
      </c>
      <c r="CJ21" s="309"/>
      <c r="CK21" s="309">
        <f t="shared" si="10"/>
        <v>331425</v>
      </c>
      <c r="CL21" s="309"/>
      <c r="CM21" s="309">
        <v>1271400</v>
      </c>
      <c r="CN21" s="309">
        <v>0</v>
      </c>
      <c r="CO21" s="309">
        <v>0</v>
      </c>
      <c r="CP21" s="309">
        <v>60605</v>
      </c>
      <c r="CQ21" s="309">
        <v>120105</v>
      </c>
      <c r="CR21" s="309"/>
      <c r="CS21" s="309">
        <f t="shared" si="11"/>
        <v>1090690</v>
      </c>
      <c r="CT21" s="309"/>
      <c r="CU21" s="309">
        <f t="shared" si="12"/>
        <v>10558732</v>
      </c>
      <c r="CV21" s="309">
        <f t="shared" si="12"/>
        <v>0</v>
      </c>
      <c r="CW21" s="309">
        <f t="shared" si="12"/>
        <v>0</v>
      </c>
      <c r="CX21" s="309">
        <f t="shared" si="12"/>
        <v>213601</v>
      </c>
      <c r="CY21" s="309">
        <f t="shared" si="12"/>
        <v>273101</v>
      </c>
      <c r="CZ21" s="309"/>
      <c r="DA21" s="309">
        <f t="shared" si="13"/>
        <v>10072030</v>
      </c>
      <c r="DB21" s="509"/>
    </row>
    <row r="22" spans="1:106" s="313" customFormat="1" ht="20.25" customHeight="1" x14ac:dyDescent="0.2">
      <c r="A22" s="307">
        <v>13</v>
      </c>
      <c r="B22" s="308" t="s">
        <v>526</v>
      </c>
      <c r="C22" s="424">
        <v>0</v>
      </c>
      <c r="D22" s="424">
        <v>0</v>
      </c>
      <c r="E22" s="424">
        <v>0</v>
      </c>
      <c r="F22" s="424">
        <v>0</v>
      </c>
      <c r="G22" s="424">
        <v>0</v>
      </c>
      <c r="H22" s="312"/>
      <c r="I22" s="309">
        <f t="shared" si="0"/>
        <v>0</v>
      </c>
      <c r="J22" s="309"/>
      <c r="K22" s="424">
        <v>0</v>
      </c>
      <c r="L22" s="424">
        <v>0</v>
      </c>
      <c r="M22" s="424">
        <v>0</v>
      </c>
      <c r="N22" s="424">
        <v>0</v>
      </c>
      <c r="O22" s="424">
        <v>0</v>
      </c>
      <c r="P22" s="312"/>
      <c r="Q22" s="309">
        <f t="shared" si="1"/>
        <v>0</v>
      </c>
      <c r="R22" s="309"/>
      <c r="S22" s="309">
        <v>0</v>
      </c>
      <c r="T22" s="309">
        <v>0</v>
      </c>
      <c r="U22" s="309">
        <v>0</v>
      </c>
      <c r="V22" s="309">
        <v>0</v>
      </c>
      <c r="W22" s="309">
        <v>0</v>
      </c>
      <c r="X22" s="309"/>
      <c r="Y22" s="309">
        <f t="shared" si="2"/>
        <v>0</v>
      </c>
      <c r="Z22" s="309"/>
      <c r="AA22" s="309">
        <v>0</v>
      </c>
      <c r="AB22" s="309">
        <v>0</v>
      </c>
      <c r="AC22" s="309">
        <v>0</v>
      </c>
      <c r="AD22" s="309">
        <v>0</v>
      </c>
      <c r="AE22" s="309">
        <v>0</v>
      </c>
      <c r="AF22" s="309"/>
      <c r="AG22" s="309">
        <f t="shared" si="3"/>
        <v>0</v>
      </c>
      <c r="AH22" s="309"/>
      <c r="AI22" s="309">
        <v>0</v>
      </c>
      <c r="AJ22" s="309">
        <v>0</v>
      </c>
      <c r="AK22" s="309">
        <v>0</v>
      </c>
      <c r="AL22" s="309">
        <v>0</v>
      </c>
      <c r="AM22" s="309">
        <v>0</v>
      </c>
      <c r="AN22" s="309"/>
      <c r="AO22" s="309">
        <f t="shared" si="4"/>
        <v>0</v>
      </c>
      <c r="AP22" s="309"/>
      <c r="AQ22" s="309">
        <v>156750</v>
      </c>
      <c r="AR22" s="309">
        <v>0</v>
      </c>
      <c r="AS22" s="309">
        <v>0</v>
      </c>
      <c r="AT22" s="309">
        <v>7837.5</v>
      </c>
      <c r="AU22" s="309">
        <v>7837.5</v>
      </c>
      <c r="AV22" s="309"/>
      <c r="AW22" s="309">
        <f t="shared" si="5"/>
        <v>141075</v>
      </c>
      <c r="AX22" s="309"/>
      <c r="AY22" s="309">
        <v>0</v>
      </c>
      <c r="AZ22" s="309">
        <v>0</v>
      </c>
      <c r="BA22" s="309">
        <v>0</v>
      </c>
      <c r="BB22" s="309">
        <v>0</v>
      </c>
      <c r="BC22" s="309">
        <v>0</v>
      </c>
      <c r="BD22" s="309"/>
      <c r="BE22" s="309">
        <f t="shared" si="6"/>
        <v>0</v>
      </c>
      <c r="BF22" s="309"/>
      <c r="BG22" s="309">
        <v>0</v>
      </c>
      <c r="BH22" s="309">
        <v>0</v>
      </c>
      <c r="BI22" s="309">
        <v>0</v>
      </c>
      <c r="BJ22" s="309">
        <v>0</v>
      </c>
      <c r="BK22" s="309">
        <v>0</v>
      </c>
      <c r="BL22" s="309"/>
      <c r="BM22" s="309">
        <f t="shared" si="7"/>
        <v>0</v>
      </c>
      <c r="BN22" s="309"/>
      <c r="BO22" s="309">
        <v>0</v>
      </c>
      <c r="BP22" s="309">
        <v>0</v>
      </c>
      <c r="BQ22" s="309">
        <v>0</v>
      </c>
      <c r="BR22" s="309">
        <v>0</v>
      </c>
      <c r="BS22" s="309">
        <v>0</v>
      </c>
      <c r="BT22" s="309"/>
      <c r="BU22" s="309">
        <f t="shared" si="8"/>
        <v>0</v>
      </c>
      <c r="BV22" s="309"/>
      <c r="BW22" s="309">
        <v>0</v>
      </c>
      <c r="BX22" s="309">
        <v>0</v>
      </c>
      <c r="BY22" s="309">
        <v>0</v>
      </c>
      <c r="BZ22" s="309">
        <v>0</v>
      </c>
      <c r="CA22" s="309">
        <v>0</v>
      </c>
      <c r="CB22" s="309"/>
      <c r="CC22" s="309">
        <f t="shared" si="9"/>
        <v>0</v>
      </c>
      <c r="CD22" s="309"/>
      <c r="CE22" s="309">
        <v>0</v>
      </c>
      <c r="CF22" s="309">
        <v>0</v>
      </c>
      <c r="CG22" s="309">
        <v>0</v>
      </c>
      <c r="CH22" s="309">
        <v>0</v>
      </c>
      <c r="CI22" s="309">
        <v>0</v>
      </c>
      <c r="CJ22" s="309"/>
      <c r="CK22" s="309">
        <f t="shared" si="10"/>
        <v>0</v>
      </c>
      <c r="CL22" s="309"/>
      <c r="CM22" s="309">
        <v>261750</v>
      </c>
      <c r="CN22" s="309">
        <v>0</v>
      </c>
      <c r="CO22" s="309">
        <v>0</v>
      </c>
      <c r="CP22" s="309">
        <v>7837.5</v>
      </c>
      <c r="CQ22" s="309">
        <v>52837.5</v>
      </c>
      <c r="CR22" s="309"/>
      <c r="CS22" s="309">
        <f t="shared" si="11"/>
        <v>201075</v>
      </c>
      <c r="CT22" s="309"/>
      <c r="CU22" s="309">
        <f t="shared" si="12"/>
        <v>418500</v>
      </c>
      <c r="CV22" s="309">
        <f t="shared" si="12"/>
        <v>0</v>
      </c>
      <c r="CW22" s="309">
        <f t="shared" si="12"/>
        <v>0</v>
      </c>
      <c r="CX22" s="309">
        <f t="shared" si="12"/>
        <v>15675</v>
      </c>
      <c r="CY22" s="309">
        <f t="shared" si="12"/>
        <v>60675</v>
      </c>
      <c r="CZ22" s="309"/>
      <c r="DA22" s="309">
        <f t="shared" si="13"/>
        <v>342150</v>
      </c>
      <c r="DB22" s="509"/>
    </row>
    <row r="23" spans="1:106" s="317" customFormat="1" ht="20.25" customHeight="1" x14ac:dyDescent="0.2">
      <c r="A23" s="307">
        <v>14</v>
      </c>
      <c r="B23" s="308" t="s">
        <v>2554</v>
      </c>
      <c r="C23" s="424">
        <v>0</v>
      </c>
      <c r="D23" s="424">
        <v>0</v>
      </c>
      <c r="E23" s="424">
        <v>0</v>
      </c>
      <c r="F23" s="424">
        <v>0</v>
      </c>
      <c r="G23" s="424">
        <v>0</v>
      </c>
      <c r="H23" s="312"/>
      <c r="I23" s="309">
        <f t="shared" si="0"/>
        <v>0</v>
      </c>
      <c r="J23" s="309"/>
      <c r="K23" s="424">
        <v>0</v>
      </c>
      <c r="L23" s="424">
        <v>0</v>
      </c>
      <c r="M23" s="424">
        <v>0</v>
      </c>
      <c r="N23" s="424">
        <v>0</v>
      </c>
      <c r="O23" s="424">
        <v>0</v>
      </c>
      <c r="P23" s="312"/>
      <c r="Q23" s="309">
        <f t="shared" si="1"/>
        <v>0</v>
      </c>
      <c r="R23" s="309"/>
      <c r="S23" s="309">
        <v>0</v>
      </c>
      <c r="T23" s="309">
        <v>0</v>
      </c>
      <c r="U23" s="309">
        <v>0</v>
      </c>
      <c r="V23" s="309">
        <v>0</v>
      </c>
      <c r="W23" s="309">
        <v>0</v>
      </c>
      <c r="X23" s="309"/>
      <c r="Y23" s="309">
        <f t="shared" si="2"/>
        <v>0</v>
      </c>
      <c r="Z23" s="309"/>
      <c r="AA23" s="309">
        <v>0</v>
      </c>
      <c r="AB23" s="309">
        <v>0</v>
      </c>
      <c r="AC23" s="309">
        <v>0</v>
      </c>
      <c r="AD23" s="309">
        <v>0</v>
      </c>
      <c r="AE23" s="309">
        <v>0</v>
      </c>
      <c r="AF23" s="309"/>
      <c r="AG23" s="309">
        <f t="shared" si="3"/>
        <v>0</v>
      </c>
      <c r="AH23" s="309"/>
      <c r="AI23" s="309">
        <v>0</v>
      </c>
      <c r="AJ23" s="309">
        <v>0</v>
      </c>
      <c r="AK23" s="309">
        <v>0</v>
      </c>
      <c r="AL23" s="309">
        <v>0</v>
      </c>
      <c r="AM23" s="309">
        <v>0</v>
      </c>
      <c r="AN23" s="309"/>
      <c r="AO23" s="309">
        <f t="shared" si="4"/>
        <v>0</v>
      </c>
      <c r="AP23" s="309"/>
      <c r="AQ23" s="309">
        <v>0</v>
      </c>
      <c r="AR23" s="309">
        <v>0</v>
      </c>
      <c r="AS23" s="309">
        <v>0</v>
      </c>
      <c r="AT23" s="309">
        <v>0</v>
      </c>
      <c r="AU23" s="309">
        <v>0</v>
      </c>
      <c r="AV23" s="309"/>
      <c r="AW23" s="309">
        <f t="shared" si="5"/>
        <v>0</v>
      </c>
      <c r="AX23" s="309"/>
      <c r="AY23" s="309">
        <v>0</v>
      </c>
      <c r="AZ23" s="309">
        <v>0</v>
      </c>
      <c r="BA23" s="309">
        <v>0</v>
      </c>
      <c r="BB23" s="309">
        <v>0</v>
      </c>
      <c r="BC23" s="309">
        <v>0</v>
      </c>
      <c r="BD23" s="309"/>
      <c r="BE23" s="309">
        <f t="shared" si="6"/>
        <v>0</v>
      </c>
      <c r="BF23" s="309"/>
      <c r="BG23" s="309">
        <v>4351116</v>
      </c>
      <c r="BH23" s="309">
        <v>0</v>
      </c>
      <c r="BI23" s="309">
        <v>0</v>
      </c>
      <c r="BJ23" s="309">
        <v>0</v>
      </c>
      <c r="BK23" s="309">
        <v>0</v>
      </c>
      <c r="BL23" s="309"/>
      <c r="BM23" s="309">
        <f t="shared" si="7"/>
        <v>4351116</v>
      </c>
      <c r="BN23" s="309"/>
      <c r="BO23" s="309">
        <v>0</v>
      </c>
      <c r="BP23" s="309">
        <v>0</v>
      </c>
      <c r="BQ23" s="309">
        <v>0</v>
      </c>
      <c r="BR23" s="309">
        <v>0</v>
      </c>
      <c r="BS23" s="309">
        <v>0</v>
      </c>
      <c r="BT23" s="309"/>
      <c r="BU23" s="309">
        <f t="shared" si="8"/>
        <v>0</v>
      </c>
      <c r="BV23" s="309"/>
      <c r="BW23" s="309">
        <v>0</v>
      </c>
      <c r="BX23" s="309">
        <v>0</v>
      </c>
      <c r="BY23" s="309">
        <v>0</v>
      </c>
      <c r="BZ23" s="309">
        <v>0</v>
      </c>
      <c r="CA23" s="309">
        <v>0</v>
      </c>
      <c r="CB23" s="309"/>
      <c r="CC23" s="309">
        <f t="shared" si="9"/>
        <v>0</v>
      </c>
      <c r="CD23" s="309"/>
      <c r="CE23" s="309">
        <v>0</v>
      </c>
      <c r="CF23" s="309">
        <v>0</v>
      </c>
      <c r="CG23" s="309">
        <v>0</v>
      </c>
      <c r="CH23" s="309">
        <v>0</v>
      </c>
      <c r="CI23" s="309">
        <v>0</v>
      </c>
      <c r="CJ23" s="309"/>
      <c r="CK23" s="309">
        <f t="shared" si="10"/>
        <v>0</v>
      </c>
      <c r="CL23" s="309"/>
      <c r="CM23" s="309">
        <v>2671660</v>
      </c>
      <c r="CN23" s="309">
        <v>0</v>
      </c>
      <c r="CO23" s="309">
        <v>0</v>
      </c>
      <c r="CP23" s="309">
        <v>1750000</v>
      </c>
      <c r="CQ23" s="309">
        <v>551000</v>
      </c>
      <c r="CR23" s="309"/>
      <c r="CS23" s="309">
        <f t="shared" si="11"/>
        <v>370660</v>
      </c>
      <c r="CT23" s="309"/>
      <c r="CU23" s="309">
        <f t="shared" si="12"/>
        <v>7022776</v>
      </c>
      <c r="CV23" s="309">
        <f t="shared" si="12"/>
        <v>0</v>
      </c>
      <c r="CW23" s="309">
        <f t="shared" si="12"/>
        <v>0</v>
      </c>
      <c r="CX23" s="309">
        <f t="shared" si="12"/>
        <v>1750000</v>
      </c>
      <c r="CY23" s="309">
        <f t="shared" si="12"/>
        <v>551000</v>
      </c>
      <c r="CZ23" s="309"/>
      <c r="DA23" s="309">
        <f t="shared" si="13"/>
        <v>4721776</v>
      </c>
      <c r="DB23" s="509"/>
    </row>
    <row r="24" spans="1:106" s="313" customFormat="1" ht="20.25" customHeight="1" x14ac:dyDescent="0.2">
      <c r="A24" s="307">
        <v>15</v>
      </c>
      <c r="B24" s="308" t="s">
        <v>2149</v>
      </c>
      <c r="C24" s="424">
        <v>0</v>
      </c>
      <c r="D24" s="424">
        <v>0</v>
      </c>
      <c r="E24" s="424">
        <v>0</v>
      </c>
      <c r="F24" s="424">
        <v>0</v>
      </c>
      <c r="G24" s="424">
        <v>0</v>
      </c>
      <c r="H24" s="312"/>
      <c r="I24" s="309">
        <f t="shared" si="0"/>
        <v>0</v>
      </c>
      <c r="J24" s="309"/>
      <c r="K24" s="424">
        <v>0</v>
      </c>
      <c r="L24" s="424">
        <v>0</v>
      </c>
      <c r="M24" s="424">
        <v>0</v>
      </c>
      <c r="N24" s="424">
        <v>0</v>
      </c>
      <c r="O24" s="424">
        <v>0</v>
      </c>
      <c r="P24" s="312"/>
      <c r="Q24" s="309">
        <f t="shared" si="1"/>
        <v>0</v>
      </c>
      <c r="R24" s="309"/>
      <c r="S24" s="309">
        <v>0</v>
      </c>
      <c r="T24" s="309">
        <v>0</v>
      </c>
      <c r="U24" s="309">
        <v>0</v>
      </c>
      <c r="V24" s="309">
        <v>0</v>
      </c>
      <c r="W24" s="309">
        <v>0</v>
      </c>
      <c r="X24" s="309"/>
      <c r="Y24" s="309">
        <f t="shared" si="2"/>
        <v>0</v>
      </c>
      <c r="Z24" s="309"/>
      <c r="AA24" s="309">
        <v>0</v>
      </c>
      <c r="AB24" s="309">
        <v>0</v>
      </c>
      <c r="AC24" s="309">
        <v>0</v>
      </c>
      <c r="AD24" s="309">
        <v>0</v>
      </c>
      <c r="AE24" s="309">
        <v>0</v>
      </c>
      <c r="AF24" s="309"/>
      <c r="AG24" s="309">
        <f t="shared" si="3"/>
        <v>0</v>
      </c>
      <c r="AH24" s="309"/>
      <c r="AI24" s="309">
        <v>0</v>
      </c>
      <c r="AJ24" s="309">
        <v>0</v>
      </c>
      <c r="AK24" s="309">
        <v>0</v>
      </c>
      <c r="AL24" s="309">
        <v>0</v>
      </c>
      <c r="AM24" s="309">
        <v>0</v>
      </c>
      <c r="AN24" s="309"/>
      <c r="AO24" s="309">
        <f t="shared" si="4"/>
        <v>0</v>
      </c>
      <c r="AP24" s="309"/>
      <c r="AQ24" s="309">
        <v>392400</v>
      </c>
      <c r="AR24" s="309">
        <v>19620</v>
      </c>
      <c r="AS24" s="309">
        <v>19620</v>
      </c>
      <c r="AT24" s="309">
        <v>0</v>
      </c>
      <c r="AU24" s="309">
        <v>0</v>
      </c>
      <c r="AV24" s="309"/>
      <c r="AW24" s="309">
        <f t="shared" si="5"/>
        <v>353160</v>
      </c>
      <c r="AX24" s="309"/>
      <c r="AY24" s="309">
        <v>0</v>
      </c>
      <c r="AZ24" s="309">
        <v>0</v>
      </c>
      <c r="BA24" s="309">
        <v>0</v>
      </c>
      <c r="BB24" s="309">
        <v>0</v>
      </c>
      <c r="BC24" s="309">
        <v>0</v>
      </c>
      <c r="BD24" s="309"/>
      <c r="BE24" s="309">
        <f t="shared" si="6"/>
        <v>0</v>
      </c>
      <c r="BF24" s="309"/>
      <c r="BG24" s="309">
        <v>0</v>
      </c>
      <c r="BH24" s="309">
        <v>0</v>
      </c>
      <c r="BI24" s="309">
        <v>0</v>
      </c>
      <c r="BJ24" s="309">
        <v>0</v>
      </c>
      <c r="BK24" s="309">
        <v>0</v>
      </c>
      <c r="BL24" s="309"/>
      <c r="BM24" s="309">
        <f t="shared" si="7"/>
        <v>0</v>
      </c>
      <c r="BN24" s="309"/>
      <c r="BO24" s="309">
        <v>0</v>
      </c>
      <c r="BP24" s="309">
        <v>0</v>
      </c>
      <c r="BQ24" s="309">
        <v>0</v>
      </c>
      <c r="BR24" s="309">
        <v>0</v>
      </c>
      <c r="BS24" s="309">
        <v>0</v>
      </c>
      <c r="BT24" s="309"/>
      <c r="BU24" s="309">
        <f t="shared" si="8"/>
        <v>0</v>
      </c>
      <c r="BV24" s="309"/>
      <c r="BW24" s="309">
        <v>0</v>
      </c>
      <c r="BX24" s="309">
        <v>0</v>
      </c>
      <c r="BY24" s="309">
        <v>0</v>
      </c>
      <c r="BZ24" s="309">
        <v>0</v>
      </c>
      <c r="CA24" s="309">
        <v>0</v>
      </c>
      <c r="CB24" s="309"/>
      <c r="CC24" s="309">
        <f t="shared" si="9"/>
        <v>0</v>
      </c>
      <c r="CD24" s="309"/>
      <c r="CE24" s="309">
        <v>0</v>
      </c>
      <c r="CF24" s="309">
        <v>0</v>
      </c>
      <c r="CG24" s="309">
        <v>0</v>
      </c>
      <c r="CH24" s="309">
        <v>0</v>
      </c>
      <c r="CI24" s="309">
        <v>0</v>
      </c>
      <c r="CJ24" s="309"/>
      <c r="CK24" s="309">
        <f t="shared" si="10"/>
        <v>0</v>
      </c>
      <c r="CL24" s="309"/>
      <c r="CM24" s="309">
        <v>0</v>
      </c>
      <c r="CN24" s="309">
        <v>0</v>
      </c>
      <c r="CO24" s="309">
        <v>0</v>
      </c>
      <c r="CP24" s="309">
        <v>0</v>
      </c>
      <c r="CQ24" s="309">
        <v>0</v>
      </c>
      <c r="CR24" s="309"/>
      <c r="CS24" s="309">
        <f t="shared" si="11"/>
        <v>0</v>
      </c>
      <c r="CT24" s="309"/>
      <c r="CU24" s="309">
        <f t="shared" si="12"/>
        <v>392400</v>
      </c>
      <c r="CV24" s="309">
        <f t="shared" si="12"/>
        <v>19620</v>
      </c>
      <c r="CW24" s="309">
        <f t="shared" si="12"/>
        <v>19620</v>
      </c>
      <c r="CX24" s="309">
        <f t="shared" si="12"/>
        <v>0</v>
      </c>
      <c r="CY24" s="309">
        <f t="shared" si="12"/>
        <v>0</v>
      </c>
      <c r="CZ24" s="309"/>
      <c r="DA24" s="309">
        <f t="shared" si="13"/>
        <v>353160</v>
      </c>
      <c r="DB24" s="509"/>
    </row>
    <row r="25" spans="1:106" s="317" customFormat="1" ht="20.25" customHeight="1" x14ac:dyDescent="0.2">
      <c r="A25" s="307">
        <v>16</v>
      </c>
      <c r="B25" s="315" t="s">
        <v>2467</v>
      </c>
      <c r="C25" s="424">
        <v>0</v>
      </c>
      <c r="D25" s="424">
        <v>0</v>
      </c>
      <c r="E25" s="424">
        <v>0</v>
      </c>
      <c r="F25" s="424">
        <v>0</v>
      </c>
      <c r="G25" s="424">
        <v>0</v>
      </c>
      <c r="H25" s="316"/>
      <c r="I25" s="309">
        <f t="shared" si="0"/>
        <v>0</v>
      </c>
      <c r="J25" s="309"/>
      <c r="K25" s="424">
        <v>0</v>
      </c>
      <c r="L25" s="424">
        <v>0</v>
      </c>
      <c r="M25" s="424">
        <v>0</v>
      </c>
      <c r="N25" s="424">
        <v>0</v>
      </c>
      <c r="O25" s="424">
        <v>0</v>
      </c>
      <c r="P25" s="316"/>
      <c r="Q25" s="309">
        <f t="shared" si="1"/>
        <v>0</v>
      </c>
      <c r="R25" s="309"/>
      <c r="S25" s="309">
        <v>0</v>
      </c>
      <c r="T25" s="309">
        <v>0</v>
      </c>
      <c r="U25" s="309">
        <v>0</v>
      </c>
      <c r="V25" s="309">
        <v>0</v>
      </c>
      <c r="W25" s="309">
        <v>0</v>
      </c>
      <c r="X25" s="309"/>
      <c r="Y25" s="309">
        <f t="shared" si="2"/>
        <v>0</v>
      </c>
      <c r="Z25" s="309"/>
      <c r="AA25" s="309">
        <v>315000</v>
      </c>
      <c r="AB25" s="309">
        <v>0</v>
      </c>
      <c r="AC25" s="309">
        <v>0</v>
      </c>
      <c r="AD25" s="309">
        <v>0</v>
      </c>
      <c r="AE25" s="309">
        <v>0</v>
      </c>
      <c r="AF25" s="309"/>
      <c r="AG25" s="309">
        <v>315000</v>
      </c>
      <c r="AH25" s="309"/>
      <c r="AI25" s="309">
        <v>0</v>
      </c>
      <c r="AJ25" s="309">
        <v>0</v>
      </c>
      <c r="AK25" s="309">
        <v>0</v>
      </c>
      <c r="AL25" s="309">
        <v>0</v>
      </c>
      <c r="AM25" s="309">
        <v>0</v>
      </c>
      <c r="AN25" s="309"/>
      <c r="AO25" s="309">
        <f t="shared" si="4"/>
        <v>0</v>
      </c>
      <c r="AP25" s="309"/>
      <c r="AQ25" s="309">
        <v>0</v>
      </c>
      <c r="AR25" s="309">
        <v>0</v>
      </c>
      <c r="AS25" s="309">
        <v>0</v>
      </c>
      <c r="AT25" s="309">
        <v>0</v>
      </c>
      <c r="AU25" s="309">
        <v>0</v>
      </c>
      <c r="AV25" s="309"/>
      <c r="AW25" s="309">
        <f t="shared" si="5"/>
        <v>0</v>
      </c>
      <c r="AX25" s="309"/>
      <c r="AY25" s="309">
        <v>45000</v>
      </c>
      <c r="AZ25" s="309">
        <v>0</v>
      </c>
      <c r="BA25" s="309">
        <v>0</v>
      </c>
      <c r="BB25" s="309">
        <v>22500</v>
      </c>
      <c r="BC25" s="309">
        <v>22500</v>
      </c>
      <c r="BD25" s="309"/>
      <c r="BE25" s="309">
        <f t="shared" si="6"/>
        <v>0</v>
      </c>
      <c r="BF25" s="309"/>
      <c r="BG25" s="309">
        <v>0</v>
      </c>
      <c r="BH25" s="309">
        <v>0</v>
      </c>
      <c r="BI25" s="309">
        <v>0</v>
      </c>
      <c r="BJ25" s="309">
        <v>0</v>
      </c>
      <c r="BK25" s="309">
        <v>0</v>
      </c>
      <c r="BL25" s="309"/>
      <c r="BM25" s="309">
        <f t="shared" si="7"/>
        <v>0</v>
      </c>
      <c r="BN25" s="309"/>
      <c r="BO25" s="309">
        <v>0</v>
      </c>
      <c r="BP25" s="309">
        <v>0</v>
      </c>
      <c r="BQ25" s="309">
        <v>0</v>
      </c>
      <c r="BR25" s="309">
        <v>0</v>
      </c>
      <c r="BS25" s="309">
        <v>0</v>
      </c>
      <c r="BT25" s="309"/>
      <c r="BU25" s="309">
        <f t="shared" si="8"/>
        <v>0</v>
      </c>
      <c r="BV25" s="309"/>
      <c r="BW25" s="309">
        <v>0</v>
      </c>
      <c r="BX25" s="309">
        <v>0</v>
      </c>
      <c r="BY25" s="309">
        <v>0</v>
      </c>
      <c r="BZ25" s="309">
        <v>0</v>
      </c>
      <c r="CA25" s="309">
        <v>0</v>
      </c>
      <c r="CB25" s="309"/>
      <c r="CC25" s="309">
        <f t="shared" si="9"/>
        <v>0</v>
      </c>
      <c r="CD25" s="309"/>
      <c r="CE25" s="309">
        <v>0</v>
      </c>
      <c r="CF25" s="309">
        <v>0</v>
      </c>
      <c r="CG25" s="309">
        <v>0</v>
      </c>
      <c r="CH25" s="309">
        <v>0</v>
      </c>
      <c r="CI25" s="309">
        <v>0</v>
      </c>
      <c r="CJ25" s="309"/>
      <c r="CK25" s="309">
        <f t="shared" si="10"/>
        <v>0</v>
      </c>
      <c r="CL25" s="309"/>
      <c r="CM25" s="309">
        <v>155250</v>
      </c>
      <c r="CN25" s="309">
        <v>0</v>
      </c>
      <c r="CO25" s="309">
        <v>0</v>
      </c>
      <c r="CP25" s="309">
        <v>0</v>
      </c>
      <c r="CQ25" s="309">
        <v>45000</v>
      </c>
      <c r="CR25" s="309"/>
      <c r="CS25" s="309">
        <f t="shared" si="11"/>
        <v>110250</v>
      </c>
      <c r="CT25" s="309"/>
      <c r="CU25" s="309">
        <f t="shared" si="12"/>
        <v>515250</v>
      </c>
      <c r="CV25" s="309">
        <f t="shared" si="12"/>
        <v>0</v>
      </c>
      <c r="CW25" s="309">
        <f t="shared" si="12"/>
        <v>0</v>
      </c>
      <c r="CX25" s="309">
        <f t="shared" si="12"/>
        <v>22500</v>
      </c>
      <c r="CY25" s="309">
        <f t="shared" si="12"/>
        <v>67500</v>
      </c>
      <c r="CZ25" s="309"/>
      <c r="DA25" s="309">
        <f t="shared" si="13"/>
        <v>425250</v>
      </c>
      <c r="DB25" s="509"/>
    </row>
    <row r="26" spans="1:106" s="322" customFormat="1" ht="22.5" customHeight="1" x14ac:dyDescent="0.45">
      <c r="A26" s="307">
        <v>17</v>
      </c>
      <c r="B26" s="315" t="s">
        <v>2555</v>
      </c>
      <c r="C26" s="424">
        <v>0</v>
      </c>
      <c r="D26" s="424">
        <v>0</v>
      </c>
      <c r="E26" s="424">
        <v>0</v>
      </c>
      <c r="F26" s="424">
        <v>0</v>
      </c>
      <c r="G26" s="424">
        <v>0</v>
      </c>
      <c r="H26" s="421"/>
      <c r="I26" s="309">
        <f t="shared" si="0"/>
        <v>0</v>
      </c>
      <c r="J26" s="422"/>
      <c r="K26" s="424">
        <v>0</v>
      </c>
      <c r="L26" s="424">
        <v>0</v>
      </c>
      <c r="M26" s="424">
        <v>0</v>
      </c>
      <c r="N26" s="424">
        <v>0</v>
      </c>
      <c r="O26" s="424">
        <v>0</v>
      </c>
      <c r="P26" s="421"/>
      <c r="Q26" s="309">
        <f t="shared" si="1"/>
        <v>0</v>
      </c>
      <c r="R26" s="422"/>
      <c r="S26" s="309">
        <v>4232126.8</v>
      </c>
      <c r="T26" s="309">
        <v>0</v>
      </c>
      <c r="U26" s="309">
        <v>0</v>
      </c>
      <c r="V26" s="309">
        <v>0</v>
      </c>
      <c r="W26" s="309">
        <v>0</v>
      </c>
      <c r="X26" s="309"/>
      <c r="Y26" s="309">
        <f t="shared" si="2"/>
        <v>4232126.8</v>
      </c>
      <c r="Z26" s="422"/>
      <c r="AA26" s="309">
        <v>0</v>
      </c>
      <c r="AB26" s="309">
        <v>0</v>
      </c>
      <c r="AC26" s="309">
        <v>0</v>
      </c>
      <c r="AD26" s="309">
        <v>0</v>
      </c>
      <c r="AE26" s="309">
        <v>0</v>
      </c>
      <c r="AF26" s="309"/>
      <c r="AG26" s="309">
        <f>+AA26-(SUM(AB26:AF26))</f>
        <v>0</v>
      </c>
      <c r="AH26" s="422"/>
      <c r="AI26" s="309">
        <v>0</v>
      </c>
      <c r="AJ26" s="309">
        <v>0</v>
      </c>
      <c r="AK26" s="309">
        <v>0</v>
      </c>
      <c r="AL26" s="309">
        <v>0</v>
      </c>
      <c r="AM26" s="309">
        <v>0</v>
      </c>
      <c r="AN26" s="309"/>
      <c r="AO26" s="309">
        <f>+AI26-(SUM(AJ26:AN26))</f>
        <v>0</v>
      </c>
      <c r="AP26" s="422"/>
      <c r="AQ26" s="309">
        <v>0</v>
      </c>
      <c r="AR26" s="309">
        <v>0</v>
      </c>
      <c r="AS26" s="309">
        <v>0</v>
      </c>
      <c r="AT26" s="309">
        <v>0</v>
      </c>
      <c r="AU26" s="309">
        <v>0</v>
      </c>
      <c r="AV26" s="309"/>
      <c r="AW26" s="309">
        <f>+AQ26-(SUM(AR26:AV26))</f>
        <v>0</v>
      </c>
      <c r="AX26" s="422"/>
      <c r="AY26" s="309">
        <v>0</v>
      </c>
      <c r="AZ26" s="309">
        <v>0</v>
      </c>
      <c r="BA26" s="309">
        <v>0</v>
      </c>
      <c r="BB26" s="309">
        <v>0</v>
      </c>
      <c r="BC26" s="309">
        <v>0</v>
      </c>
      <c r="BD26" s="309"/>
      <c r="BE26" s="309">
        <f>+AY26-(SUM(AZ26:BD26))</f>
        <v>0</v>
      </c>
      <c r="BF26" s="309"/>
      <c r="BG26" s="309">
        <v>0</v>
      </c>
      <c r="BH26" s="309">
        <v>0</v>
      </c>
      <c r="BI26" s="309">
        <v>0</v>
      </c>
      <c r="BJ26" s="309">
        <v>0</v>
      </c>
      <c r="BK26" s="309">
        <v>0</v>
      </c>
      <c r="BL26" s="309"/>
      <c r="BM26" s="309">
        <f>+BG26-(SUM(BH26:BL26))</f>
        <v>0</v>
      </c>
      <c r="BN26" s="309"/>
      <c r="BO26" s="309">
        <v>0</v>
      </c>
      <c r="BP26" s="309">
        <v>0</v>
      </c>
      <c r="BQ26" s="309">
        <v>0</v>
      </c>
      <c r="BR26" s="309">
        <v>0</v>
      </c>
      <c r="BS26" s="309">
        <v>0</v>
      </c>
      <c r="BT26" s="309"/>
      <c r="BU26" s="309">
        <f>+BO26-(SUM(BP26:BT26))</f>
        <v>0</v>
      </c>
      <c r="BV26" s="309"/>
      <c r="BW26" s="309">
        <v>0</v>
      </c>
      <c r="BX26" s="309">
        <v>0</v>
      </c>
      <c r="BY26" s="309">
        <v>0</v>
      </c>
      <c r="BZ26" s="309">
        <v>0</v>
      </c>
      <c r="CA26" s="309">
        <v>0</v>
      </c>
      <c r="CB26" s="309"/>
      <c r="CC26" s="309">
        <f>+BW26-(SUM(BX26:CB26))</f>
        <v>0</v>
      </c>
      <c r="CD26" s="309"/>
      <c r="CE26" s="309">
        <v>0</v>
      </c>
      <c r="CF26" s="309">
        <v>0</v>
      </c>
      <c r="CG26" s="309">
        <v>0</v>
      </c>
      <c r="CH26" s="309">
        <v>0</v>
      </c>
      <c r="CI26" s="309">
        <v>0</v>
      </c>
      <c r="CJ26" s="309"/>
      <c r="CK26" s="309">
        <f>+CE26-(SUM(CF26:CJ26))</f>
        <v>0</v>
      </c>
      <c r="CL26" s="309"/>
      <c r="CM26" s="309">
        <v>1053326.7</v>
      </c>
      <c r="CN26" s="309">
        <v>0</v>
      </c>
      <c r="CO26" s="309">
        <v>0</v>
      </c>
      <c r="CP26" s="309">
        <v>439080</v>
      </c>
      <c r="CQ26" s="309">
        <v>439080</v>
      </c>
      <c r="CR26" s="309"/>
      <c r="CS26" s="309">
        <f>+CM26-(SUM(CN26:CR26))</f>
        <v>175166.69999999995</v>
      </c>
      <c r="CT26" s="422"/>
      <c r="CU26" s="309">
        <f t="shared" si="12"/>
        <v>5285453.5</v>
      </c>
      <c r="CV26" s="309">
        <f t="shared" si="12"/>
        <v>0</v>
      </c>
      <c r="CW26" s="309">
        <f t="shared" si="12"/>
        <v>0</v>
      </c>
      <c r="CX26" s="309">
        <f t="shared" si="12"/>
        <v>439080</v>
      </c>
      <c r="CY26" s="309">
        <f t="shared" si="12"/>
        <v>439080</v>
      </c>
      <c r="CZ26" s="309"/>
      <c r="DA26" s="309">
        <f t="shared" si="13"/>
        <v>4407293.5</v>
      </c>
      <c r="DB26" s="509"/>
    </row>
    <row r="27" spans="1:106" ht="24" thickBot="1" x14ac:dyDescent="0.55000000000000004">
      <c r="A27" s="514"/>
      <c r="B27" s="515" t="s">
        <v>1919</v>
      </c>
      <c r="C27" s="503">
        <f>SUM(C10:C26)</f>
        <v>242500</v>
      </c>
      <c r="D27" s="503">
        <f>SUM(D10:D26)</f>
        <v>5000</v>
      </c>
      <c r="E27" s="503">
        <f>SUM(E10:E26)</f>
        <v>5000</v>
      </c>
      <c r="F27" s="503">
        <f>SUM(F10:F26)</f>
        <v>7125</v>
      </c>
      <c r="G27" s="503">
        <f>SUM(G10:G26)</f>
        <v>7125</v>
      </c>
      <c r="H27" s="503"/>
      <c r="I27" s="503">
        <f>SUM(I10:I26)</f>
        <v>218250</v>
      </c>
      <c r="J27" s="504"/>
      <c r="K27" s="504">
        <f>SUM(K10:K26)</f>
        <v>2935500</v>
      </c>
      <c r="L27" s="504">
        <f>SUM(L10:L26)</f>
        <v>66775</v>
      </c>
      <c r="M27" s="504">
        <f>SUM(M10:M26)</f>
        <v>66775</v>
      </c>
      <c r="N27" s="504">
        <f>SUM(N10:N26)</f>
        <v>50000</v>
      </c>
      <c r="O27" s="504">
        <f>SUM(O10:O26)</f>
        <v>50000</v>
      </c>
      <c r="P27" s="504"/>
      <c r="Q27" s="504">
        <f>SUM(Q10:Q26)</f>
        <v>2701950</v>
      </c>
      <c r="R27" s="504"/>
      <c r="S27" s="503">
        <f>SUM(S10:S26)</f>
        <v>6326398</v>
      </c>
      <c r="T27" s="503">
        <f>SUM(T10:T26)</f>
        <v>40581.699999999997</v>
      </c>
      <c r="U27" s="503">
        <f>SUM(U10:U26)</f>
        <v>40581.699999999997</v>
      </c>
      <c r="V27" s="503">
        <f>SUM(V10:V26)</f>
        <v>4750</v>
      </c>
      <c r="W27" s="503">
        <f>SUM(W10:W26)</f>
        <v>4750</v>
      </c>
      <c r="X27" s="503"/>
      <c r="Y27" s="503">
        <f>SUM(Y10:Y26)</f>
        <v>6235734.5999999996</v>
      </c>
      <c r="Z27" s="504"/>
      <c r="AA27" s="504">
        <f>SUM(AA10:AA26)</f>
        <v>2140550</v>
      </c>
      <c r="AB27" s="504">
        <f>SUM(AB10:AB26)</f>
        <v>0</v>
      </c>
      <c r="AC27" s="504">
        <f>SUM(AC10:AC26)</f>
        <v>0</v>
      </c>
      <c r="AD27" s="504">
        <f>SUM(AD10:AD26)</f>
        <v>53913.5</v>
      </c>
      <c r="AE27" s="504">
        <f>SUM(AE10:AE26)</f>
        <v>53913.5</v>
      </c>
      <c r="AF27" s="504"/>
      <c r="AG27" s="504">
        <f>SUM(AG10:AG26)</f>
        <v>2032723</v>
      </c>
      <c r="AH27" s="504"/>
      <c r="AI27" s="503">
        <f>SUM(AI10:AI26)</f>
        <v>2178452</v>
      </c>
      <c r="AJ27" s="503">
        <f>SUM(AJ10:AJ26)</f>
        <v>9900</v>
      </c>
      <c r="AK27" s="503">
        <f>SUM(AK10:AK26)</f>
        <v>9900</v>
      </c>
      <c r="AL27" s="503">
        <f>SUM(AL10:AL26)</f>
        <v>156269.25</v>
      </c>
      <c r="AM27" s="503">
        <f>SUM(AM10:AM26)</f>
        <v>156269.25</v>
      </c>
      <c r="AN27" s="503"/>
      <c r="AO27" s="503">
        <f>SUM(AO10:AO26)</f>
        <v>1846113.5</v>
      </c>
      <c r="AP27" s="504"/>
      <c r="AQ27" s="504">
        <f>SUM(AQ10:AQ26)</f>
        <v>2430961</v>
      </c>
      <c r="AR27" s="504">
        <f>SUM(AR10:AR26)</f>
        <v>24520</v>
      </c>
      <c r="AS27" s="504">
        <f>SUM(AS10:AS26)</f>
        <v>24520</v>
      </c>
      <c r="AT27" s="504">
        <f>SUM(AT10:AT26)</f>
        <v>32537.5</v>
      </c>
      <c r="AU27" s="504">
        <f>SUM(AU10:AU26)</f>
        <v>32537.5</v>
      </c>
      <c r="AV27" s="504"/>
      <c r="AW27" s="504">
        <f>SUM(AW10:AW26)</f>
        <v>2316846</v>
      </c>
      <c r="AX27" s="504"/>
      <c r="AY27" s="503">
        <f>SUM(AY10:AY26)</f>
        <v>1233155</v>
      </c>
      <c r="AZ27" s="503">
        <f>SUM(AZ10:AZ26)</f>
        <v>0</v>
      </c>
      <c r="BA27" s="503">
        <f>SUM(BA10:BA26)</f>
        <v>0</v>
      </c>
      <c r="BB27" s="503">
        <f>SUM(BB10:BB26)</f>
        <v>79007.87</v>
      </c>
      <c r="BC27" s="503">
        <f>SUM(BC10:BC26)</f>
        <v>79007.87</v>
      </c>
      <c r="BD27" s="503"/>
      <c r="BE27" s="503">
        <f>SUM(BE10:BE26)</f>
        <v>1075139.26</v>
      </c>
      <c r="BF27" s="504"/>
      <c r="BG27" s="504">
        <f>SUM(BG10:BG26)</f>
        <v>17819559</v>
      </c>
      <c r="BH27" s="504">
        <f>SUM(BH10:BH26)</f>
        <v>0</v>
      </c>
      <c r="BI27" s="504">
        <f>SUM(BI10:BI26)</f>
        <v>0</v>
      </c>
      <c r="BJ27" s="504">
        <f>SUM(BJ10:BJ26)</f>
        <v>145520</v>
      </c>
      <c r="BK27" s="504">
        <f>SUM(BK10:BK26)</f>
        <v>145520</v>
      </c>
      <c r="BL27" s="504"/>
      <c r="BM27" s="504">
        <f>SUM(BM10:BM26)</f>
        <v>17528519</v>
      </c>
      <c r="BN27" s="504"/>
      <c r="BO27" s="503">
        <f>SUM(BO10:BO26)</f>
        <v>4082225</v>
      </c>
      <c r="BP27" s="503">
        <f>SUM(BP10:BP26)</f>
        <v>600</v>
      </c>
      <c r="BQ27" s="503">
        <f>SUM(BQ10:BQ26)</f>
        <v>600</v>
      </c>
      <c r="BR27" s="503">
        <f>SUM(BR10:BR26)</f>
        <v>81581.25</v>
      </c>
      <c r="BS27" s="503">
        <f>SUM(BS10:BS26)</f>
        <v>81581.25</v>
      </c>
      <c r="BT27" s="503"/>
      <c r="BU27" s="503">
        <f>SUM(BU10:BU26)</f>
        <v>3917862.5</v>
      </c>
      <c r="BV27" s="504"/>
      <c r="BW27" s="564">
        <f>SUM(BW10:BW26)</f>
        <v>2092418.28</v>
      </c>
      <c r="BX27" s="504">
        <f>SUM(BX10:BX26)</f>
        <v>56597.039000000004</v>
      </c>
      <c r="BY27" s="504">
        <f>SUM(BY10:BY26)</f>
        <v>56597.039000000004</v>
      </c>
      <c r="BZ27" s="504">
        <f>SUM(BZ10:BZ26)</f>
        <v>5200</v>
      </c>
      <c r="CA27" s="504">
        <f>SUM(CA10:CA26)</f>
        <v>5200</v>
      </c>
      <c r="CB27" s="504"/>
      <c r="CC27" s="504">
        <f>SUM(CC10:CC26)</f>
        <v>1968824.202</v>
      </c>
      <c r="CD27" s="504"/>
      <c r="CE27" s="565">
        <f>SUM(CE10:CE26)</f>
        <v>3466147</v>
      </c>
      <c r="CF27" s="503">
        <f>SUM(CF10:CF26)</f>
        <v>77209.650000000009</v>
      </c>
      <c r="CG27" s="503">
        <f>SUM(CG10:CG26)</f>
        <v>77209.650000000009</v>
      </c>
      <c r="CH27" s="503">
        <f>SUM(CH10:CH26)</f>
        <v>19412.5</v>
      </c>
      <c r="CI27" s="503">
        <f>SUM(CI10:CI26)</f>
        <v>19412.5</v>
      </c>
      <c r="CJ27" s="503"/>
      <c r="CK27" s="503">
        <f>SUM(CK10:CK26)</f>
        <v>3272902.7</v>
      </c>
      <c r="CL27" s="504"/>
      <c r="CM27" s="504">
        <f>SUM(CM10:CM26)</f>
        <v>15685332.699999999</v>
      </c>
      <c r="CN27" s="504">
        <f>SUM(CN10:CN26)</f>
        <v>178900</v>
      </c>
      <c r="CO27" s="504">
        <f>SUM(CO10:CO26)</f>
        <v>178900</v>
      </c>
      <c r="CP27" s="504">
        <f>SUM(CP10:CP26)</f>
        <v>2594742.25</v>
      </c>
      <c r="CQ27" s="504">
        <f>SUM(CQ10:CQ26)</f>
        <v>2594742.25</v>
      </c>
      <c r="CR27" s="504"/>
      <c r="CS27" s="504">
        <f>SUM(CS10:CS26)</f>
        <v>10138048.199999999</v>
      </c>
      <c r="CT27" s="504"/>
      <c r="CU27" s="318">
        <f>SUM(CU10:CU26)</f>
        <v>60633197.980000004</v>
      </c>
      <c r="CV27" s="319">
        <f>SUM(CV10:CV26)</f>
        <v>460083.38900000002</v>
      </c>
      <c r="CW27" s="319">
        <f>SUM(CW10:CW26)</f>
        <v>460083.38900000002</v>
      </c>
      <c r="CX27" s="320">
        <f>SUM(CX10:CX26)</f>
        <v>3230059.12</v>
      </c>
      <c r="CY27" s="320">
        <f>SUM(CY10:CY26)</f>
        <v>3230059.12</v>
      </c>
      <c r="CZ27" s="320"/>
      <c r="DA27" s="321">
        <f>SUM(DA10:DA26)</f>
        <v>53252912.961999997</v>
      </c>
    </row>
    <row r="28" spans="1:106" s="313" customFormat="1" ht="20.25" customHeight="1" thickTop="1" x14ac:dyDescent="0.5">
      <c r="A28" s="323"/>
      <c r="B28" s="323"/>
      <c r="C28" s="324"/>
      <c r="D28" s="325"/>
      <c r="E28" s="325"/>
      <c r="F28" s="325"/>
      <c r="G28" s="325"/>
      <c r="H28" s="325"/>
      <c r="I28" s="325"/>
      <c r="J28" s="505"/>
      <c r="K28" s="324"/>
      <c r="L28" s="325"/>
      <c r="M28" s="325"/>
      <c r="N28" s="325"/>
      <c r="O28" s="325"/>
      <c r="P28" s="325"/>
      <c r="Q28" s="325"/>
      <c r="R28" s="325"/>
      <c r="S28" s="324"/>
      <c r="T28" s="325"/>
      <c r="U28" s="325"/>
      <c r="V28" s="325"/>
      <c r="W28" s="325"/>
      <c r="X28" s="325"/>
      <c r="Y28" s="325"/>
      <c r="Z28" s="505"/>
      <c r="AA28" s="324"/>
      <c r="AB28" s="325"/>
      <c r="AC28" s="325"/>
      <c r="AD28" s="325"/>
      <c r="AE28" s="325"/>
      <c r="AF28" s="325"/>
      <c r="AG28" s="325"/>
      <c r="AH28" s="325"/>
      <c r="AI28" s="324"/>
      <c r="AJ28" s="325"/>
      <c r="AK28" s="325"/>
      <c r="AL28" s="325"/>
      <c r="AM28" s="325"/>
      <c r="AN28" s="325"/>
      <c r="AO28" s="325"/>
      <c r="AP28" s="505"/>
      <c r="AQ28" s="324"/>
      <c r="AR28" s="325"/>
      <c r="AS28" s="325"/>
      <c r="AT28" s="325"/>
      <c r="AU28" s="325"/>
      <c r="AV28" s="325"/>
      <c r="AW28" s="325"/>
      <c r="AX28" s="325"/>
      <c r="AY28" s="324"/>
      <c r="AZ28" s="325"/>
      <c r="BA28" s="325"/>
      <c r="BB28" s="325"/>
      <c r="BC28" s="325"/>
      <c r="BD28" s="325"/>
      <c r="BE28" s="325"/>
      <c r="BF28" s="505"/>
      <c r="BG28" s="324"/>
      <c r="BH28" s="325"/>
      <c r="BI28" s="325"/>
      <c r="BJ28" s="325"/>
      <c r="BK28" s="325"/>
      <c r="BL28" s="325"/>
      <c r="BM28" s="325"/>
      <c r="BN28" s="325"/>
      <c r="BO28" s="324"/>
      <c r="BP28" s="325"/>
      <c r="BQ28" s="325"/>
      <c r="BR28" s="325"/>
      <c r="BS28" s="325"/>
      <c r="BT28" s="325"/>
      <c r="BU28" s="325"/>
      <c r="BV28" s="505"/>
      <c r="BW28" s="324"/>
      <c r="BX28" s="325"/>
      <c r="BY28" s="325"/>
      <c r="BZ28" s="325"/>
      <c r="CA28" s="325"/>
      <c r="CB28" s="325"/>
      <c r="CC28" s="325"/>
      <c r="CD28" s="325"/>
      <c r="CE28" s="324"/>
      <c r="CF28" s="325"/>
      <c r="CG28" s="325"/>
      <c r="CH28" s="325"/>
      <c r="CI28" s="325"/>
      <c r="CJ28" s="325"/>
      <c r="CK28" s="325"/>
      <c r="CL28" s="505"/>
      <c r="CM28" s="324"/>
      <c r="CN28" s="325"/>
      <c r="CO28" s="325"/>
      <c r="CP28" s="325"/>
      <c r="CQ28" s="325"/>
      <c r="CR28" s="325"/>
      <c r="CS28" s="325"/>
      <c r="CT28" s="325"/>
      <c r="CU28" s="324"/>
      <c r="CV28" s="325"/>
      <c r="CW28" s="325"/>
      <c r="CX28" s="325"/>
      <c r="CY28" s="325"/>
      <c r="CZ28" s="325"/>
      <c r="DA28" s="325"/>
    </row>
    <row r="29" spans="1:106" x14ac:dyDescent="0.5">
      <c r="C29" s="333"/>
      <c r="D29" s="333"/>
      <c r="E29" s="333"/>
      <c r="F29" s="333"/>
      <c r="G29" s="333"/>
      <c r="H29" s="333"/>
      <c r="I29" s="333"/>
      <c r="J29" s="506"/>
      <c r="K29" s="333"/>
      <c r="L29" s="333"/>
      <c r="M29" s="333"/>
      <c r="N29" s="333"/>
      <c r="O29" s="333"/>
      <c r="P29" s="333"/>
      <c r="Q29" s="333"/>
      <c r="R29" s="333"/>
      <c r="S29" s="333"/>
      <c r="T29" s="333"/>
      <c r="U29" s="333"/>
      <c r="V29" s="333"/>
      <c r="W29" s="333"/>
      <c r="X29" s="333"/>
      <c r="Y29" s="333"/>
      <c r="Z29" s="506"/>
      <c r="AA29" s="333"/>
      <c r="AB29" s="333"/>
      <c r="AC29" s="333"/>
      <c r="AD29" s="333"/>
      <c r="AE29" s="333"/>
      <c r="AF29" s="333"/>
      <c r="AG29" s="333"/>
      <c r="AH29" s="333"/>
      <c r="AI29" s="333"/>
      <c r="AJ29" s="333"/>
      <c r="AK29" s="333"/>
      <c r="AL29" s="333"/>
      <c r="AM29" s="333"/>
      <c r="AN29" s="333"/>
      <c r="AO29" s="333"/>
      <c r="AP29" s="506"/>
      <c r="AQ29" s="333"/>
      <c r="AR29" s="333"/>
      <c r="AS29" s="333"/>
      <c r="AT29" s="333"/>
      <c r="AU29" s="333"/>
      <c r="AV29" s="333"/>
      <c r="AW29" s="333"/>
      <c r="AX29" s="333"/>
      <c r="AY29" s="333"/>
      <c r="AZ29" s="333"/>
      <c r="BA29" s="333"/>
      <c r="BB29" s="333"/>
      <c r="BC29" s="333"/>
      <c r="BD29" s="333"/>
      <c r="BE29" s="333"/>
      <c r="BF29" s="506"/>
      <c r="BG29" s="333"/>
      <c r="BH29" s="333"/>
      <c r="BI29" s="333"/>
      <c r="BJ29" s="333"/>
      <c r="BK29" s="333"/>
      <c r="BL29" s="333"/>
      <c r="BM29" s="333"/>
      <c r="BN29" s="333"/>
      <c r="BO29" s="333"/>
      <c r="BP29" s="333"/>
      <c r="BQ29" s="333"/>
      <c r="BR29" s="333"/>
      <c r="BS29" s="333"/>
      <c r="BT29" s="333"/>
      <c r="BU29" s="333"/>
      <c r="BV29" s="506"/>
      <c r="BW29" s="333"/>
      <c r="BX29" s="333"/>
      <c r="BY29" s="333"/>
      <c r="BZ29" s="333"/>
      <c r="CA29" s="333"/>
      <c r="CB29" s="333"/>
      <c r="CC29" s="333"/>
      <c r="CD29" s="333"/>
      <c r="CE29" s="333"/>
      <c r="CF29" s="333"/>
      <c r="CG29" s="333"/>
      <c r="CH29" s="333"/>
      <c r="CI29" s="333"/>
      <c r="CJ29" s="333"/>
      <c r="CK29" s="333"/>
      <c r="CL29" s="506"/>
      <c r="CM29" s="333"/>
      <c r="CN29" s="333"/>
      <c r="CO29" s="333"/>
      <c r="CP29" s="333"/>
      <c r="CQ29" s="333"/>
      <c r="CR29" s="333"/>
      <c r="CS29" s="333"/>
      <c r="CT29" s="333"/>
      <c r="CU29" s="333"/>
      <c r="CV29" s="333"/>
      <c r="CW29" s="333"/>
      <c r="CX29" s="333"/>
      <c r="CY29" s="333"/>
      <c r="CZ29" s="333"/>
      <c r="DA29" s="333"/>
    </row>
    <row r="30" spans="1:106" x14ac:dyDescent="0.5">
      <c r="C30" s="373"/>
      <c r="D30" s="373"/>
      <c r="E30" s="373"/>
      <c r="F30" s="373"/>
      <c r="G30" s="373"/>
      <c r="H30" s="373"/>
      <c r="I30" s="373"/>
      <c r="J30" s="507"/>
      <c r="K30" s="373"/>
      <c r="L30" s="373"/>
      <c r="M30" s="373"/>
      <c r="N30" s="373"/>
      <c r="O30" s="373"/>
      <c r="P30" s="373"/>
      <c r="Q30" s="373"/>
      <c r="R30" s="373"/>
      <c r="S30" s="373"/>
      <c r="T30" s="373"/>
      <c r="U30" s="373"/>
      <c r="V30" s="373"/>
      <c r="W30" s="373"/>
      <c r="X30" s="373"/>
      <c r="Y30" s="373"/>
      <c r="Z30" s="507"/>
      <c r="AA30" s="373"/>
      <c r="AB30" s="373"/>
      <c r="AC30" s="373"/>
      <c r="AD30" s="373"/>
      <c r="AE30" s="373"/>
      <c r="AF30" s="373"/>
      <c r="AG30" s="373"/>
      <c r="AH30" s="373"/>
      <c r="AI30" s="373"/>
      <c r="AJ30" s="373"/>
      <c r="AK30" s="373"/>
      <c r="AL30" s="373"/>
      <c r="AM30" s="373"/>
      <c r="AN30" s="373"/>
      <c r="AO30" s="373"/>
      <c r="AP30" s="507"/>
      <c r="AQ30" s="373"/>
      <c r="AR30" s="373"/>
      <c r="AS30" s="373"/>
      <c r="AT30" s="373"/>
      <c r="AU30" s="373"/>
      <c r="AV30" s="373"/>
      <c r="AW30" s="373"/>
      <c r="AX30" s="373"/>
      <c r="AY30" s="373"/>
      <c r="AZ30" s="373"/>
      <c r="BA30" s="373"/>
      <c r="BB30" s="373"/>
      <c r="BC30" s="373"/>
      <c r="BD30" s="373"/>
      <c r="BE30" s="373"/>
      <c r="BF30" s="507"/>
      <c r="BG30" s="373"/>
      <c r="BH30" s="373"/>
      <c r="BI30" s="373"/>
      <c r="BJ30" s="373"/>
      <c r="BK30" s="373"/>
      <c r="BL30" s="373"/>
      <c r="BM30" s="373"/>
      <c r="BN30" s="373"/>
      <c r="BO30" s="373"/>
      <c r="BP30" s="373"/>
      <c r="BQ30" s="373"/>
      <c r="BR30" s="373"/>
      <c r="BS30" s="373"/>
      <c r="BT30" s="373"/>
      <c r="BU30" s="373"/>
      <c r="BV30" s="507"/>
      <c r="BW30" s="373"/>
      <c r="BX30" s="373"/>
      <c r="BY30" s="373"/>
      <c r="BZ30" s="373"/>
      <c r="CA30" s="373"/>
      <c r="CB30" s="373"/>
      <c r="CC30" s="373"/>
      <c r="CD30" s="373"/>
      <c r="CE30" s="373"/>
      <c r="CF30" s="373"/>
      <c r="CG30" s="373"/>
      <c r="CH30" s="373"/>
      <c r="CI30" s="373"/>
      <c r="CJ30" s="373"/>
      <c r="CK30" s="373"/>
      <c r="CL30" s="507"/>
      <c r="CM30" s="373"/>
      <c r="CN30" s="373"/>
      <c r="CO30" s="373"/>
      <c r="CP30" s="373"/>
      <c r="CQ30" s="373"/>
      <c r="CR30" s="373"/>
      <c r="CS30" s="373"/>
      <c r="CT30" s="373"/>
      <c r="CU30" s="373"/>
      <c r="CV30" s="373"/>
      <c r="CW30" s="373"/>
      <c r="CX30" s="373"/>
      <c r="CY30" s="373"/>
      <c r="CZ30" s="373"/>
      <c r="DA30" s="373"/>
    </row>
    <row r="31" spans="1:106" x14ac:dyDescent="0.5">
      <c r="D31" s="324"/>
      <c r="E31" s="324"/>
      <c r="F31" s="324"/>
      <c r="G31" s="324"/>
      <c r="H31" s="324"/>
      <c r="I31" s="324"/>
      <c r="J31" s="508"/>
      <c r="L31" s="324"/>
      <c r="M31" s="324"/>
      <c r="N31" s="324"/>
      <c r="O31" s="324"/>
      <c r="P31" s="324"/>
      <c r="Q31" s="324"/>
      <c r="R31" s="324"/>
      <c r="T31" s="324"/>
      <c r="U31" s="324"/>
      <c r="V31" s="324"/>
      <c r="W31" s="324"/>
      <c r="X31" s="324"/>
      <c r="Y31" s="324"/>
      <c r="Z31" s="508"/>
      <c r="AB31" s="324"/>
      <c r="AC31" s="324"/>
      <c r="AD31" s="324"/>
      <c r="AE31" s="324"/>
      <c r="AF31" s="324"/>
      <c r="AG31" s="324"/>
      <c r="AH31" s="324"/>
      <c r="AJ31" s="324"/>
      <c r="AK31" s="324"/>
      <c r="AL31" s="324"/>
      <c r="AM31" s="324"/>
      <c r="AN31" s="324"/>
      <c r="AO31" s="324"/>
      <c r="AP31" s="508"/>
      <c r="AR31" s="324"/>
      <c r="AS31" s="324"/>
      <c r="AT31" s="324"/>
      <c r="AU31" s="324"/>
      <c r="AV31" s="324"/>
      <c r="AW31" s="324"/>
      <c r="AX31" s="324"/>
      <c r="AZ31" s="324"/>
      <c r="BA31" s="324"/>
      <c r="BB31" s="324"/>
      <c r="BC31" s="324"/>
      <c r="BD31" s="324"/>
      <c r="BE31" s="324"/>
      <c r="BF31" s="508"/>
      <c r="BH31" s="324"/>
      <c r="BI31" s="324"/>
      <c r="BJ31" s="324"/>
      <c r="BK31" s="324"/>
      <c r="BL31" s="324"/>
      <c r="BM31" s="324"/>
      <c r="BN31" s="324"/>
      <c r="BP31" s="324"/>
      <c r="BQ31" s="324"/>
      <c r="BR31" s="324"/>
      <c r="BS31" s="324"/>
      <c r="BT31" s="324"/>
      <c r="BU31" s="324"/>
      <c r="BV31" s="508"/>
      <c r="BX31" s="324"/>
      <c r="BY31" s="324"/>
      <c r="BZ31" s="324"/>
      <c r="CA31" s="324"/>
      <c r="CB31" s="324"/>
      <c r="CC31" s="324"/>
      <c r="CD31" s="324"/>
      <c r="CF31" s="324"/>
      <c r="CG31" s="324"/>
      <c r="CH31" s="324"/>
      <c r="CI31" s="324"/>
      <c r="CJ31" s="324"/>
      <c r="CK31" s="324"/>
      <c r="CL31" s="508"/>
      <c r="CN31" s="324"/>
      <c r="CO31" s="324"/>
      <c r="CP31" s="324"/>
      <c r="CQ31" s="324"/>
      <c r="CR31" s="324"/>
      <c r="CS31" s="324"/>
      <c r="CT31" s="324"/>
      <c r="CV31" s="324"/>
      <c r="CW31" s="324"/>
      <c r="CX31" s="324"/>
      <c r="CY31" s="324"/>
      <c r="CZ31" s="324"/>
      <c r="DA31" s="324"/>
    </row>
    <row r="33" spans="4:105" x14ac:dyDescent="0.5">
      <c r="D33" s="324"/>
      <c r="E33" s="324"/>
      <c r="F33" s="324"/>
      <c r="G33" s="324"/>
      <c r="H33" s="324"/>
      <c r="I33" s="324"/>
      <c r="J33" s="508"/>
      <c r="L33" s="324"/>
      <c r="M33" s="324"/>
      <c r="N33" s="324"/>
      <c r="O33" s="324"/>
      <c r="P33" s="324"/>
      <c r="Q33" s="324"/>
      <c r="R33" s="324"/>
      <c r="T33" s="324"/>
      <c r="U33" s="324"/>
      <c r="V33" s="324"/>
      <c r="W33" s="324"/>
      <c r="X33" s="324"/>
      <c r="Y33" s="324"/>
      <c r="Z33" s="508"/>
      <c r="AB33" s="324"/>
      <c r="AC33" s="324"/>
      <c r="AD33" s="324"/>
      <c r="AE33" s="324"/>
      <c r="AF33" s="324"/>
      <c r="AG33" s="324"/>
      <c r="AH33" s="324"/>
      <c r="AJ33" s="324"/>
      <c r="AK33" s="324"/>
      <c r="AL33" s="324"/>
      <c r="AM33" s="324"/>
      <c r="AN33" s="324"/>
      <c r="AO33" s="324"/>
      <c r="AP33" s="508"/>
      <c r="AR33" s="324"/>
      <c r="AS33" s="324"/>
      <c r="AT33" s="324"/>
      <c r="AU33" s="324"/>
      <c r="AV33" s="324"/>
      <c r="AW33" s="324"/>
      <c r="AX33" s="324"/>
      <c r="AZ33" s="324"/>
      <c r="BA33" s="324"/>
      <c r="BB33" s="324"/>
      <c r="BC33" s="324"/>
      <c r="BD33" s="324"/>
      <c r="BE33" s="324"/>
      <c r="BF33" s="508"/>
      <c r="BH33" s="324"/>
      <c r="BI33" s="324"/>
      <c r="BJ33" s="324"/>
      <c r="BK33" s="324"/>
      <c r="BL33" s="324"/>
      <c r="BM33" s="324"/>
      <c r="BN33" s="324"/>
      <c r="BP33" s="324"/>
      <c r="BQ33" s="324"/>
      <c r="BR33" s="324"/>
      <c r="BS33" s="324"/>
      <c r="BT33" s="324"/>
      <c r="BU33" s="324"/>
      <c r="BV33" s="508"/>
      <c r="BX33" s="324"/>
      <c r="BY33" s="324"/>
      <c r="BZ33" s="324"/>
      <c r="CA33" s="324"/>
      <c r="CB33" s="324"/>
      <c r="CC33" s="324"/>
      <c r="CD33" s="324"/>
      <c r="CF33" s="324"/>
      <c r="CG33" s="324"/>
      <c r="CH33" s="324"/>
      <c r="CI33" s="324"/>
      <c r="CJ33" s="324"/>
      <c r="CK33" s="324"/>
      <c r="CL33" s="508"/>
      <c r="CN33" s="324"/>
      <c r="CO33" s="324"/>
      <c r="CP33" s="324"/>
      <c r="CQ33" s="324"/>
      <c r="CR33" s="324"/>
      <c r="CS33" s="324"/>
      <c r="CT33" s="324"/>
      <c r="CV33" s="324"/>
      <c r="CW33" s="324"/>
      <c r="CX33" s="324"/>
      <c r="CY33" s="324"/>
      <c r="CZ33" s="324"/>
      <c r="DA33" s="324"/>
    </row>
  </sheetData>
  <mergeCells count="80">
    <mergeCell ref="AR8:AS8"/>
    <mergeCell ref="A6:A9"/>
    <mergeCell ref="B6:B9"/>
    <mergeCell ref="C6:I6"/>
    <mergeCell ref="D8:E8"/>
    <mergeCell ref="F8:H8"/>
    <mergeCell ref="K6:Q6"/>
    <mergeCell ref="S6:Y6"/>
    <mergeCell ref="AA6:AG6"/>
    <mergeCell ref="AI6:AO6"/>
    <mergeCell ref="AQ6:AW6"/>
    <mergeCell ref="AT8:AV8"/>
    <mergeCell ref="L8:M8"/>
    <mergeCell ref="N8:P8"/>
    <mergeCell ref="T8:U8"/>
    <mergeCell ref="V8:X8"/>
    <mergeCell ref="AB8:AC8"/>
    <mergeCell ref="AO7:AO9"/>
    <mergeCell ref="AD8:AF8"/>
    <mergeCell ref="AJ8:AK8"/>
    <mergeCell ref="AL8:AN8"/>
    <mergeCell ref="AQ7:AQ9"/>
    <mergeCell ref="AR7:AV7"/>
    <mergeCell ref="AI7:AI9"/>
    <mergeCell ref="AJ7:AN7"/>
    <mergeCell ref="CN7:CR7"/>
    <mergeCell ref="CC7:CC9"/>
    <mergeCell ref="CE7:CE9"/>
    <mergeCell ref="CF7:CJ7"/>
    <mergeCell ref="CK7:CK9"/>
    <mergeCell ref="CM7:CM9"/>
    <mergeCell ref="CF8:CG8"/>
    <mergeCell ref="CH8:CJ8"/>
    <mergeCell ref="BO7:BO9"/>
    <mergeCell ref="BP7:BT7"/>
    <mergeCell ref="BU7:BU9"/>
    <mergeCell ref="BW7:BW9"/>
    <mergeCell ref="CS7:CS9"/>
    <mergeCell ref="CU7:CU9"/>
    <mergeCell ref="CV7:CZ7"/>
    <mergeCell ref="DA7:DA9"/>
    <mergeCell ref="CN8:CO8"/>
    <mergeCell ref="CP8:CR8"/>
    <mergeCell ref="CV8:CW8"/>
    <mergeCell ref="CX8:CZ8"/>
    <mergeCell ref="BX7:CB7"/>
    <mergeCell ref="BP8:BQ8"/>
    <mergeCell ref="BR8:BT8"/>
    <mergeCell ref="BX8:BY8"/>
    <mergeCell ref="BZ8:CB8"/>
    <mergeCell ref="AZ7:BD7"/>
    <mergeCell ref="BE7:BE9"/>
    <mergeCell ref="BG7:BG9"/>
    <mergeCell ref="BH7:BL7"/>
    <mergeCell ref="BM7:BM9"/>
    <mergeCell ref="AZ8:BA8"/>
    <mergeCell ref="BB8:BD8"/>
    <mergeCell ref="BH8:BI8"/>
    <mergeCell ref="BJ8:BL8"/>
    <mergeCell ref="AW7:AW9"/>
    <mergeCell ref="AY7:AY9"/>
    <mergeCell ref="CM6:CS6"/>
    <mergeCell ref="CU6:DA6"/>
    <mergeCell ref="C7:C9"/>
    <mergeCell ref="D7:H7"/>
    <mergeCell ref="I7:I9"/>
    <mergeCell ref="K7:K9"/>
    <mergeCell ref="L7:P7"/>
    <mergeCell ref="Q7:Q9"/>
    <mergeCell ref="S7:S9"/>
    <mergeCell ref="T7:X7"/>
    <mergeCell ref="Y7:Y9"/>
    <mergeCell ref="AA7:AA9"/>
    <mergeCell ref="AB7:AF7"/>
    <mergeCell ref="AG7:AG9"/>
    <mergeCell ref="AY6:BE6"/>
    <mergeCell ref="BG6:BM6"/>
    <mergeCell ref="BO6:BU6"/>
    <mergeCell ref="BW6:CC6"/>
    <mergeCell ref="CE6:CK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2"/>
  <sheetViews>
    <sheetView workbookViewId="0">
      <pane xSplit="8" ySplit="7" topLeftCell="I29" activePane="bottomRight" state="frozen"/>
      <selection pane="topRight" activeCell="I1" sqref="I1"/>
      <selection pane="bottomLeft" activeCell="A8" sqref="A8"/>
      <selection pane="bottomRight" activeCell="A210" sqref="A210:XFD212"/>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23" customWidth="1"/>
    <col min="15" max="15" width="11.625" style="517" customWidth="1"/>
    <col min="16"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0" width="9.625" style="517" customWidth="1"/>
    <col min="271" max="271" width="11.625" style="517" customWidth="1"/>
    <col min="272"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6" width="9.625" style="517" customWidth="1"/>
    <col min="527" max="527" width="11.625" style="517" customWidth="1"/>
    <col min="528"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2" width="9.625" style="517" customWidth="1"/>
    <col min="783" max="783" width="11.625" style="517" customWidth="1"/>
    <col min="784"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8" width="9.625" style="517" customWidth="1"/>
    <col min="1039" max="1039" width="11.625" style="517" customWidth="1"/>
    <col min="1040"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4" width="9.625" style="517" customWidth="1"/>
    <col min="1295" max="1295" width="11.625" style="517" customWidth="1"/>
    <col min="1296"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0" width="9.625" style="517" customWidth="1"/>
    <col min="1551" max="1551" width="11.625" style="517" customWidth="1"/>
    <col min="1552"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6" width="9.625" style="517" customWidth="1"/>
    <col min="1807" max="1807" width="11.625" style="517" customWidth="1"/>
    <col min="1808"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2" width="9.625" style="517" customWidth="1"/>
    <col min="2063" max="2063" width="11.625" style="517" customWidth="1"/>
    <col min="2064"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8" width="9.625" style="517" customWidth="1"/>
    <col min="2319" max="2319" width="11.625" style="517" customWidth="1"/>
    <col min="2320"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4" width="9.625" style="517" customWidth="1"/>
    <col min="2575" max="2575" width="11.625" style="517" customWidth="1"/>
    <col min="2576"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0" width="9.625" style="517" customWidth="1"/>
    <col min="2831" max="2831" width="11.625" style="517" customWidth="1"/>
    <col min="2832"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6" width="9.625" style="517" customWidth="1"/>
    <col min="3087" max="3087" width="11.625" style="517" customWidth="1"/>
    <col min="3088"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2" width="9.625" style="517" customWidth="1"/>
    <col min="3343" max="3343" width="11.625" style="517" customWidth="1"/>
    <col min="3344"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8" width="9.625" style="517" customWidth="1"/>
    <col min="3599" max="3599" width="11.625" style="517" customWidth="1"/>
    <col min="3600"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4" width="9.625" style="517" customWidth="1"/>
    <col min="3855" max="3855" width="11.625" style="517" customWidth="1"/>
    <col min="3856"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0" width="9.625" style="517" customWidth="1"/>
    <col min="4111" max="4111" width="11.625" style="517" customWidth="1"/>
    <col min="4112"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6" width="9.625" style="517" customWidth="1"/>
    <col min="4367" max="4367" width="11.625" style="517" customWidth="1"/>
    <col min="4368"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2" width="9.625" style="517" customWidth="1"/>
    <col min="4623" max="4623" width="11.625" style="517" customWidth="1"/>
    <col min="4624"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8" width="9.625" style="517" customWidth="1"/>
    <col min="4879" max="4879" width="11.625" style="517" customWidth="1"/>
    <col min="4880"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4" width="9.625" style="517" customWidth="1"/>
    <col min="5135" max="5135" width="11.625" style="517" customWidth="1"/>
    <col min="5136"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0" width="9.625" style="517" customWidth="1"/>
    <col min="5391" max="5391" width="11.625" style="517" customWidth="1"/>
    <col min="5392"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6" width="9.625" style="517" customWidth="1"/>
    <col min="5647" max="5647" width="11.625" style="517" customWidth="1"/>
    <col min="5648"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2" width="9.625" style="517" customWidth="1"/>
    <col min="5903" max="5903" width="11.625" style="517" customWidth="1"/>
    <col min="5904"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8" width="9.625" style="517" customWidth="1"/>
    <col min="6159" max="6159" width="11.625" style="517" customWidth="1"/>
    <col min="6160"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4" width="9.625" style="517" customWidth="1"/>
    <col min="6415" max="6415" width="11.625" style="517" customWidth="1"/>
    <col min="6416"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0" width="9.625" style="517" customWidth="1"/>
    <col min="6671" max="6671" width="11.625" style="517" customWidth="1"/>
    <col min="6672"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6" width="9.625" style="517" customWidth="1"/>
    <col min="6927" max="6927" width="11.625" style="517" customWidth="1"/>
    <col min="6928"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2" width="9.625" style="517" customWidth="1"/>
    <col min="7183" max="7183" width="11.625" style="517" customWidth="1"/>
    <col min="7184"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8" width="9.625" style="517" customWidth="1"/>
    <col min="7439" max="7439" width="11.625" style="517" customWidth="1"/>
    <col min="7440"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4" width="9.625" style="517" customWidth="1"/>
    <col min="7695" max="7695" width="11.625" style="517" customWidth="1"/>
    <col min="7696"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0" width="9.625" style="517" customWidth="1"/>
    <col min="7951" max="7951" width="11.625" style="517" customWidth="1"/>
    <col min="7952"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6" width="9.625" style="517" customWidth="1"/>
    <col min="8207" max="8207" width="11.625" style="517" customWidth="1"/>
    <col min="8208"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2" width="9.625" style="517" customWidth="1"/>
    <col min="8463" max="8463" width="11.625" style="517" customWidth="1"/>
    <col min="8464"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8" width="9.625" style="517" customWidth="1"/>
    <col min="8719" max="8719" width="11.625" style="517" customWidth="1"/>
    <col min="8720"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4" width="9.625" style="517" customWidth="1"/>
    <col min="8975" max="8975" width="11.625" style="517" customWidth="1"/>
    <col min="8976"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0" width="9.625" style="517" customWidth="1"/>
    <col min="9231" max="9231" width="11.625" style="517" customWidth="1"/>
    <col min="9232"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6" width="9.625" style="517" customWidth="1"/>
    <col min="9487" max="9487" width="11.625" style="517" customWidth="1"/>
    <col min="9488"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2" width="9.625" style="517" customWidth="1"/>
    <col min="9743" max="9743" width="11.625" style="517" customWidth="1"/>
    <col min="9744"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8" width="9.625" style="517" customWidth="1"/>
    <col min="9999" max="9999" width="11.625" style="517" customWidth="1"/>
    <col min="10000"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4" width="9.625" style="517" customWidth="1"/>
    <col min="10255" max="10255" width="11.625" style="517" customWidth="1"/>
    <col min="10256"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0" width="9.625" style="517" customWidth="1"/>
    <col min="10511" max="10511" width="11.625" style="517" customWidth="1"/>
    <col min="10512"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6" width="9.625" style="517" customWidth="1"/>
    <col min="10767" max="10767" width="11.625" style="517" customWidth="1"/>
    <col min="10768"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2" width="9.625" style="517" customWidth="1"/>
    <col min="11023" max="11023" width="11.625" style="517" customWidth="1"/>
    <col min="11024"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8" width="9.625" style="517" customWidth="1"/>
    <col min="11279" max="11279" width="11.625" style="517" customWidth="1"/>
    <col min="11280"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4" width="9.625" style="517" customWidth="1"/>
    <col min="11535" max="11535" width="11.625" style="517" customWidth="1"/>
    <col min="11536"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0" width="9.625" style="517" customWidth="1"/>
    <col min="11791" max="11791" width="11.625" style="517" customWidth="1"/>
    <col min="11792"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6" width="9.625" style="517" customWidth="1"/>
    <col min="12047" max="12047" width="11.625" style="517" customWidth="1"/>
    <col min="12048"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2" width="9.625" style="517" customWidth="1"/>
    <col min="12303" max="12303" width="11.625" style="517" customWidth="1"/>
    <col min="12304"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8" width="9.625" style="517" customWidth="1"/>
    <col min="12559" max="12559" width="11.625" style="517" customWidth="1"/>
    <col min="12560"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4" width="9.625" style="517" customWidth="1"/>
    <col min="12815" max="12815" width="11.625" style="517" customWidth="1"/>
    <col min="12816"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0" width="9.625" style="517" customWidth="1"/>
    <col min="13071" max="13071" width="11.625" style="517" customWidth="1"/>
    <col min="13072"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6" width="9.625" style="517" customWidth="1"/>
    <col min="13327" max="13327" width="11.625" style="517" customWidth="1"/>
    <col min="13328"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2" width="9.625" style="517" customWidth="1"/>
    <col min="13583" max="13583" width="11.625" style="517" customWidth="1"/>
    <col min="13584"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8" width="9.625" style="517" customWidth="1"/>
    <col min="13839" max="13839" width="11.625" style="517" customWidth="1"/>
    <col min="13840"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4" width="9.625" style="517" customWidth="1"/>
    <col min="14095" max="14095" width="11.625" style="517" customWidth="1"/>
    <col min="14096"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0" width="9.625" style="517" customWidth="1"/>
    <col min="14351" max="14351" width="11.625" style="517" customWidth="1"/>
    <col min="14352"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6" width="9.625" style="517" customWidth="1"/>
    <col min="14607" max="14607" width="11.625" style="517" customWidth="1"/>
    <col min="14608"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2" width="9.625" style="517" customWidth="1"/>
    <col min="14863" max="14863" width="11.625" style="517" customWidth="1"/>
    <col min="14864"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8" width="9.625" style="517" customWidth="1"/>
    <col min="15119" max="15119" width="11.625" style="517" customWidth="1"/>
    <col min="15120"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4" width="9.625" style="517" customWidth="1"/>
    <col min="15375" max="15375" width="11.625" style="517" customWidth="1"/>
    <col min="15376"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0" width="9.625" style="517" customWidth="1"/>
    <col min="15631" max="15631" width="11.625" style="517" customWidth="1"/>
    <col min="15632"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6" width="9.625" style="517" customWidth="1"/>
    <col min="15887" max="15887" width="11.625" style="517" customWidth="1"/>
    <col min="15888"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2" width="9.625" style="517" customWidth="1"/>
    <col min="16143" max="16143" width="11.625" style="517" customWidth="1"/>
    <col min="16144" max="16384" width="9" style="517"/>
  </cols>
  <sheetData>
    <row r="1" spans="1:16" ht="21" x14ac:dyDescent="0.45">
      <c r="A1" s="640" t="s">
        <v>1913</v>
      </c>
      <c r="B1" s="640"/>
      <c r="C1" s="640"/>
      <c r="D1" s="640"/>
      <c r="E1" s="640"/>
      <c r="F1" s="640"/>
      <c r="G1" s="640"/>
      <c r="H1" s="640"/>
      <c r="I1" s="640"/>
      <c r="J1" s="640"/>
      <c r="K1" s="640"/>
      <c r="L1" s="640"/>
      <c r="M1" s="640"/>
      <c r="N1" s="640"/>
      <c r="O1" s="640"/>
    </row>
    <row r="2" spans="1:16" ht="21" x14ac:dyDescent="0.45">
      <c r="A2" s="640" t="s">
        <v>1920</v>
      </c>
      <c r="B2" s="640"/>
      <c r="C2" s="640"/>
      <c r="D2" s="640"/>
      <c r="E2" s="640"/>
      <c r="F2" s="640"/>
      <c r="G2" s="640"/>
      <c r="H2" s="640"/>
      <c r="I2" s="640"/>
      <c r="J2" s="640"/>
      <c r="K2" s="640"/>
      <c r="L2" s="640"/>
      <c r="M2" s="640"/>
      <c r="N2" s="640"/>
      <c r="O2" s="640"/>
    </row>
    <row r="3" spans="1:16" ht="21" x14ac:dyDescent="0.45">
      <c r="A3" s="640" t="s">
        <v>2912</v>
      </c>
      <c r="B3" s="640"/>
      <c r="C3" s="640"/>
      <c r="D3" s="640"/>
      <c r="E3" s="640"/>
      <c r="F3" s="640"/>
      <c r="G3" s="640"/>
      <c r="H3" s="640"/>
      <c r="I3" s="640"/>
      <c r="J3" s="640"/>
      <c r="K3" s="640"/>
      <c r="L3" s="640"/>
      <c r="M3" s="640"/>
      <c r="N3" s="640"/>
      <c r="O3" s="640"/>
    </row>
    <row r="4" spans="1:16" s="521" customFormat="1" ht="8.1" customHeight="1" x14ac:dyDescent="0.4">
      <c r="A4" s="518"/>
      <c r="B4" s="519"/>
      <c r="C4" s="518"/>
      <c r="D4" s="518"/>
      <c r="E4" s="520"/>
      <c r="I4" s="522"/>
      <c r="N4" s="523"/>
    </row>
    <row r="5" spans="1:16" s="524" customFormat="1" ht="42" customHeight="1" x14ac:dyDescent="0.4">
      <c r="A5" s="638" t="s">
        <v>253</v>
      </c>
      <c r="B5" s="638" t="s">
        <v>254</v>
      </c>
      <c r="C5" s="638"/>
      <c r="D5" s="638"/>
      <c r="E5" s="638"/>
      <c r="F5" s="638"/>
      <c r="G5" s="638"/>
      <c r="H5" s="638"/>
      <c r="I5" s="638"/>
      <c r="J5" s="655" t="s">
        <v>2905</v>
      </c>
      <c r="K5" s="655"/>
      <c r="L5" s="655"/>
      <c r="M5" s="655"/>
      <c r="N5" s="655"/>
      <c r="O5" s="644" t="s">
        <v>256</v>
      </c>
    </row>
    <row r="6" spans="1:16" s="525" customFormat="1" ht="57.75" customHeight="1" x14ac:dyDescent="0.2">
      <c r="A6" s="638"/>
      <c r="B6" s="645" t="s">
        <v>257</v>
      </c>
      <c r="C6" s="638" t="s">
        <v>2</v>
      </c>
      <c r="D6" s="638" t="s">
        <v>258</v>
      </c>
      <c r="E6" s="638" t="s">
        <v>259</v>
      </c>
      <c r="F6" s="638" t="s">
        <v>260</v>
      </c>
      <c r="G6" s="638" t="s">
        <v>261</v>
      </c>
      <c r="H6" s="638" t="s">
        <v>262</v>
      </c>
      <c r="I6" s="647" t="s">
        <v>263</v>
      </c>
      <c r="J6" s="648" t="s">
        <v>2239</v>
      </c>
      <c r="K6" s="648"/>
      <c r="L6" s="646" t="s">
        <v>265</v>
      </c>
      <c r="M6" s="646"/>
      <c r="N6" s="646"/>
      <c r="O6" s="644"/>
    </row>
    <row r="7" spans="1:16" s="524" customFormat="1" ht="60" customHeight="1" x14ac:dyDescent="0.4">
      <c r="A7" s="638"/>
      <c r="B7" s="645"/>
      <c r="C7" s="638"/>
      <c r="D7" s="638"/>
      <c r="E7" s="638"/>
      <c r="F7" s="638"/>
      <c r="G7" s="638"/>
      <c r="H7" s="638"/>
      <c r="I7" s="647"/>
      <c r="J7" s="535" t="s">
        <v>266</v>
      </c>
      <c r="K7" s="535" t="s">
        <v>267</v>
      </c>
      <c r="L7" s="536" t="s">
        <v>266</v>
      </c>
      <c r="M7" s="536" t="s">
        <v>267</v>
      </c>
      <c r="N7" s="536" t="s">
        <v>3088</v>
      </c>
      <c r="O7" s="644"/>
    </row>
    <row r="8" spans="1:16" s="328" customFormat="1" ht="20.100000000000001" customHeight="1" x14ac:dyDescent="0.4">
      <c r="A8" s="388" t="s">
        <v>1186</v>
      </c>
      <c r="B8" s="389"/>
      <c r="C8" s="390"/>
      <c r="D8" s="390"/>
      <c r="E8" s="391"/>
      <c r="F8" s="391"/>
      <c r="G8" s="391"/>
      <c r="H8" s="392"/>
      <c r="I8" s="393">
        <f>SUM(I9:I29)</f>
        <v>8383910</v>
      </c>
      <c r="J8" s="393">
        <f t="shared" ref="J8:O8" si="0">SUM(J9:J29)</f>
        <v>12600</v>
      </c>
      <c r="K8" s="393">
        <f t="shared" si="0"/>
        <v>12600</v>
      </c>
      <c r="L8" s="393">
        <f t="shared" si="0"/>
        <v>297257</v>
      </c>
      <c r="M8" s="393">
        <f t="shared" si="0"/>
        <v>638757</v>
      </c>
      <c r="N8" s="537"/>
      <c r="O8" s="393">
        <f t="shared" si="0"/>
        <v>7422696</v>
      </c>
      <c r="P8" s="440"/>
    </row>
    <row r="9" spans="1:16" s="328" customFormat="1" ht="20.100000000000001" customHeight="1" x14ac:dyDescent="0.4">
      <c r="A9" s="438"/>
      <c r="B9" s="437" t="s">
        <v>2960</v>
      </c>
      <c r="C9" s="439" t="s">
        <v>2961</v>
      </c>
      <c r="D9" s="439" t="s">
        <v>2962</v>
      </c>
      <c r="E9" s="435" t="s">
        <v>451</v>
      </c>
      <c r="F9" s="435" t="s">
        <v>739</v>
      </c>
      <c r="G9" s="435" t="s">
        <v>2946</v>
      </c>
      <c r="H9" s="436" t="s">
        <v>3198</v>
      </c>
      <c r="I9" s="486">
        <v>81000</v>
      </c>
      <c r="J9" s="486">
        <v>4050</v>
      </c>
      <c r="K9" s="486">
        <v>4050</v>
      </c>
      <c r="L9" s="486">
        <v>0</v>
      </c>
      <c r="M9" s="486">
        <v>0</v>
      </c>
      <c r="N9" s="530"/>
      <c r="O9" s="486">
        <f t="shared" ref="O9:O29" si="1">+I9-(SUM(J9:N9))</f>
        <v>72900</v>
      </c>
      <c r="P9" s="440"/>
    </row>
    <row r="10" spans="1:16" s="440" customFormat="1" ht="93.75" x14ac:dyDescent="0.2">
      <c r="A10" s="438"/>
      <c r="B10" s="437" t="s">
        <v>3026</v>
      </c>
      <c r="C10" s="439" t="s">
        <v>3063</v>
      </c>
      <c r="D10" s="439" t="s">
        <v>3064</v>
      </c>
      <c r="E10" s="435" t="s">
        <v>1251</v>
      </c>
      <c r="F10" s="435" t="s">
        <v>3199</v>
      </c>
      <c r="G10" s="435" t="s">
        <v>1763</v>
      </c>
      <c r="H10" s="436" t="s">
        <v>3200</v>
      </c>
      <c r="I10" s="486">
        <v>669046</v>
      </c>
      <c r="J10" s="486">
        <v>0</v>
      </c>
      <c r="K10" s="486">
        <v>0</v>
      </c>
      <c r="L10" s="486">
        <v>0</v>
      </c>
      <c r="M10" s="486">
        <v>0</v>
      </c>
      <c r="N10" s="538" t="s">
        <v>1786</v>
      </c>
      <c r="O10" s="486">
        <f t="shared" si="1"/>
        <v>669046</v>
      </c>
    </row>
    <row r="11" spans="1:16" s="440" customFormat="1" ht="131.25" x14ac:dyDescent="0.2">
      <c r="A11" s="438"/>
      <c r="B11" s="437" t="s">
        <v>3069</v>
      </c>
      <c r="C11" s="439" t="s">
        <v>3070</v>
      </c>
      <c r="D11" s="439" t="s">
        <v>3071</v>
      </c>
      <c r="E11" s="435" t="s">
        <v>451</v>
      </c>
      <c r="F11" s="435" t="s">
        <v>739</v>
      </c>
      <c r="G11" s="435" t="s">
        <v>1144</v>
      </c>
      <c r="H11" s="436" t="s">
        <v>3201</v>
      </c>
      <c r="I11" s="486">
        <v>199500</v>
      </c>
      <c r="J11" s="486">
        <v>0</v>
      </c>
      <c r="K11" s="486">
        <v>0</v>
      </c>
      <c r="L11" s="486">
        <v>9975</v>
      </c>
      <c r="M11" s="486">
        <v>9975</v>
      </c>
      <c r="N11" s="538"/>
      <c r="O11" s="486">
        <f t="shared" si="1"/>
        <v>179550</v>
      </c>
    </row>
    <row r="12" spans="1:16" s="488" customFormat="1" ht="131.25" x14ac:dyDescent="0.2">
      <c r="A12" s="438"/>
      <c r="B12" s="437" t="s">
        <v>3095</v>
      </c>
      <c r="C12" s="439" t="s">
        <v>3096</v>
      </c>
      <c r="D12" s="439" t="s">
        <v>3097</v>
      </c>
      <c r="E12" s="435" t="s">
        <v>1251</v>
      </c>
      <c r="F12" s="435" t="s">
        <v>3199</v>
      </c>
      <c r="G12" s="435" t="s">
        <v>1198</v>
      </c>
      <c r="H12" s="436" t="s">
        <v>3202</v>
      </c>
      <c r="I12" s="486">
        <v>142500</v>
      </c>
      <c r="J12" s="486">
        <v>0</v>
      </c>
      <c r="K12" s="486">
        <v>0</v>
      </c>
      <c r="L12" s="486">
        <v>7125</v>
      </c>
      <c r="M12" s="486">
        <v>7125</v>
      </c>
      <c r="N12" s="538"/>
      <c r="O12" s="486">
        <f t="shared" si="1"/>
        <v>128250</v>
      </c>
      <c r="P12" s="440"/>
    </row>
    <row r="13" spans="1:16" s="328" customFormat="1" ht="20.100000000000001" customHeight="1" x14ac:dyDescent="0.4">
      <c r="A13" s="438"/>
      <c r="B13" s="437" t="s">
        <v>3089</v>
      </c>
      <c r="C13" s="439" t="s">
        <v>3090</v>
      </c>
      <c r="D13" s="439" t="s">
        <v>3091</v>
      </c>
      <c r="E13" s="435" t="s">
        <v>1185</v>
      </c>
      <c r="F13" s="435" t="s">
        <v>739</v>
      </c>
      <c r="G13" s="435" t="s">
        <v>1763</v>
      </c>
      <c r="H13" s="436" t="s">
        <v>3203</v>
      </c>
      <c r="I13" s="486">
        <v>607500</v>
      </c>
      <c r="J13" s="486">
        <v>0</v>
      </c>
      <c r="K13" s="486">
        <v>0</v>
      </c>
      <c r="L13" s="486">
        <v>0</v>
      </c>
      <c r="M13" s="486">
        <v>0</v>
      </c>
      <c r="N13" s="538" t="s">
        <v>1786</v>
      </c>
      <c r="O13" s="486">
        <f t="shared" si="1"/>
        <v>607500</v>
      </c>
      <c r="P13" s="440"/>
    </row>
    <row r="14" spans="1:16" s="440" customFormat="1" ht="150" x14ac:dyDescent="0.2">
      <c r="A14" s="438"/>
      <c r="B14" s="437" t="s">
        <v>3089</v>
      </c>
      <c r="C14" s="439" t="s">
        <v>3090</v>
      </c>
      <c r="D14" s="439" t="s">
        <v>3091</v>
      </c>
      <c r="E14" s="435" t="s">
        <v>2155</v>
      </c>
      <c r="F14" s="435" t="s">
        <v>739</v>
      </c>
      <c r="G14" s="435" t="s">
        <v>1763</v>
      </c>
      <c r="H14" s="436" t="s">
        <v>3204</v>
      </c>
      <c r="I14" s="486">
        <v>1250000</v>
      </c>
      <c r="J14" s="486">
        <v>0</v>
      </c>
      <c r="K14" s="486">
        <v>0</v>
      </c>
      <c r="L14" s="486">
        <v>0</v>
      </c>
      <c r="M14" s="486">
        <v>0</v>
      </c>
      <c r="N14" s="538" t="s">
        <v>1786</v>
      </c>
      <c r="O14" s="486">
        <f t="shared" si="1"/>
        <v>1250000</v>
      </c>
    </row>
    <row r="15" spans="1:16" s="440" customFormat="1" ht="112.5" x14ac:dyDescent="0.2">
      <c r="A15" s="438"/>
      <c r="B15" s="437" t="s">
        <v>3089</v>
      </c>
      <c r="C15" s="439" t="s">
        <v>3098</v>
      </c>
      <c r="D15" s="439" t="s">
        <v>3099</v>
      </c>
      <c r="E15" s="435" t="s">
        <v>1251</v>
      </c>
      <c r="F15" s="435" t="s">
        <v>3199</v>
      </c>
      <c r="G15" s="435" t="s">
        <v>1763</v>
      </c>
      <c r="H15" s="436" t="s">
        <v>3205</v>
      </c>
      <c r="I15" s="486">
        <v>315000</v>
      </c>
      <c r="J15" s="486">
        <v>0</v>
      </c>
      <c r="K15" s="486">
        <v>0</v>
      </c>
      <c r="L15" s="486">
        <v>90000</v>
      </c>
      <c r="M15" s="486">
        <v>90000</v>
      </c>
      <c r="N15" s="538"/>
      <c r="O15" s="486">
        <f t="shared" si="1"/>
        <v>135000</v>
      </c>
    </row>
    <row r="16" spans="1:16" s="440" customFormat="1" ht="131.25" x14ac:dyDescent="0.2">
      <c r="A16" s="438"/>
      <c r="B16" s="437" t="s">
        <v>3092</v>
      </c>
      <c r="C16" s="439" t="s">
        <v>3093</v>
      </c>
      <c r="D16" s="439" t="s">
        <v>3094</v>
      </c>
      <c r="E16" s="435" t="s">
        <v>1185</v>
      </c>
      <c r="F16" s="435" t="s">
        <v>739</v>
      </c>
      <c r="G16" s="435" t="s">
        <v>1763</v>
      </c>
      <c r="H16" s="436" t="s">
        <v>3206</v>
      </c>
      <c r="I16" s="486">
        <v>853750</v>
      </c>
      <c r="J16" s="486">
        <v>0</v>
      </c>
      <c r="K16" s="486">
        <v>0</v>
      </c>
      <c r="L16" s="486">
        <v>0</v>
      </c>
      <c r="M16" s="486">
        <v>0</v>
      </c>
      <c r="N16" s="538" t="s">
        <v>1786</v>
      </c>
      <c r="O16" s="486">
        <f t="shared" si="1"/>
        <v>853750</v>
      </c>
    </row>
    <row r="17" spans="1:15" s="440" customFormat="1" ht="131.25" x14ac:dyDescent="0.2">
      <c r="A17" s="438"/>
      <c r="B17" s="437" t="s">
        <v>3092</v>
      </c>
      <c r="C17" s="439" t="s">
        <v>3093</v>
      </c>
      <c r="D17" s="439" t="s">
        <v>3094</v>
      </c>
      <c r="E17" s="435" t="s">
        <v>2155</v>
      </c>
      <c r="F17" s="435" t="s">
        <v>739</v>
      </c>
      <c r="G17" s="435" t="s">
        <v>1763</v>
      </c>
      <c r="H17" s="436" t="s">
        <v>3207</v>
      </c>
      <c r="I17" s="486">
        <v>453600</v>
      </c>
      <c r="J17" s="486">
        <v>0</v>
      </c>
      <c r="K17" s="486">
        <v>0</v>
      </c>
      <c r="L17" s="486">
        <v>0</v>
      </c>
      <c r="M17" s="486">
        <v>0</v>
      </c>
      <c r="N17" s="538" t="s">
        <v>1786</v>
      </c>
      <c r="O17" s="486">
        <f t="shared" si="1"/>
        <v>453600</v>
      </c>
    </row>
    <row r="18" spans="1:15" s="440" customFormat="1" ht="112.5" x14ac:dyDescent="0.2">
      <c r="A18" s="438"/>
      <c r="B18" s="437" t="s">
        <v>3124</v>
      </c>
      <c r="C18" s="439" t="s">
        <v>3125</v>
      </c>
      <c r="D18" s="439" t="s">
        <v>3126</v>
      </c>
      <c r="E18" s="435" t="s">
        <v>2155</v>
      </c>
      <c r="F18" s="435" t="s">
        <v>739</v>
      </c>
      <c r="G18" s="435" t="s">
        <v>1144</v>
      </c>
      <c r="H18" s="436" t="s">
        <v>3208</v>
      </c>
      <c r="I18" s="486">
        <v>1156625</v>
      </c>
      <c r="J18" s="486">
        <v>0</v>
      </c>
      <c r="K18" s="486">
        <v>0</v>
      </c>
      <c r="L18" s="486">
        <v>57831.25</v>
      </c>
      <c r="M18" s="486">
        <v>57831.25</v>
      </c>
      <c r="N18" s="538"/>
      <c r="O18" s="486">
        <f t="shared" si="1"/>
        <v>1040962.5</v>
      </c>
    </row>
    <row r="19" spans="1:15" s="440" customFormat="1" ht="131.25" x14ac:dyDescent="0.2">
      <c r="A19" s="438"/>
      <c r="B19" s="437" t="s">
        <v>3141</v>
      </c>
      <c r="C19" s="439" t="s">
        <v>3142</v>
      </c>
      <c r="D19" s="439" t="s">
        <v>3143</v>
      </c>
      <c r="E19" s="435" t="s">
        <v>451</v>
      </c>
      <c r="F19" s="435" t="s">
        <v>739</v>
      </c>
      <c r="G19" s="435" t="s">
        <v>2946</v>
      </c>
      <c r="H19" s="436" t="s">
        <v>3209</v>
      </c>
      <c r="I19" s="486">
        <v>81000</v>
      </c>
      <c r="J19" s="486">
        <v>4050</v>
      </c>
      <c r="K19" s="486">
        <v>4050</v>
      </c>
      <c r="L19" s="486">
        <v>0</v>
      </c>
      <c r="M19" s="486">
        <v>0</v>
      </c>
      <c r="N19" s="538"/>
      <c r="O19" s="486">
        <f t="shared" si="1"/>
        <v>72900</v>
      </c>
    </row>
    <row r="20" spans="1:15" s="440" customFormat="1" ht="112.5" x14ac:dyDescent="0.2">
      <c r="A20" s="438"/>
      <c r="B20" s="437" t="s">
        <v>3141</v>
      </c>
      <c r="C20" s="439" t="s">
        <v>3144</v>
      </c>
      <c r="D20" s="439" t="s">
        <v>3145</v>
      </c>
      <c r="E20" s="435" t="s">
        <v>451</v>
      </c>
      <c r="F20" s="435" t="s">
        <v>739</v>
      </c>
      <c r="G20" s="435" t="s">
        <v>2946</v>
      </c>
      <c r="H20" s="436" t="s">
        <v>3210</v>
      </c>
      <c r="I20" s="486">
        <v>90000</v>
      </c>
      <c r="J20" s="486">
        <v>4500</v>
      </c>
      <c r="K20" s="486">
        <v>4500</v>
      </c>
      <c r="L20" s="486">
        <v>0</v>
      </c>
      <c r="M20" s="486">
        <v>0</v>
      </c>
      <c r="N20" s="538"/>
      <c r="O20" s="486">
        <f t="shared" si="1"/>
        <v>81000</v>
      </c>
    </row>
    <row r="21" spans="1:15" s="440" customFormat="1" ht="131.25" x14ac:dyDescent="0.2">
      <c r="A21" s="438"/>
      <c r="B21" s="437" t="s">
        <v>3211</v>
      </c>
      <c r="C21" s="439" t="s">
        <v>3212</v>
      </c>
      <c r="D21" s="439" t="s">
        <v>3213</v>
      </c>
      <c r="E21" s="435" t="s">
        <v>1251</v>
      </c>
      <c r="F21" s="435" t="s">
        <v>3199</v>
      </c>
      <c r="G21" s="435" t="s">
        <v>1198</v>
      </c>
      <c r="H21" s="436" t="s">
        <v>3214</v>
      </c>
      <c r="I21" s="486">
        <v>190000</v>
      </c>
      <c r="J21" s="486">
        <v>0</v>
      </c>
      <c r="K21" s="486">
        <v>0</v>
      </c>
      <c r="L21" s="486">
        <v>9500</v>
      </c>
      <c r="M21" s="486">
        <v>9500</v>
      </c>
      <c r="N21" s="538"/>
      <c r="O21" s="486">
        <f t="shared" si="1"/>
        <v>171000</v>
      </c>
    </row>
    <row r="22" spans="1:15" s="440" customFormat="1" ht="131.25" x14ac:dyDescent="0.2">
      <c r="A22" s="438"/>
      <c r="B22" s="437" t="s">
        <v>3215</v>
      </c>
      <c r="C22" s="439" t="s">
        <v>3216</v>
      </c>
      <c r="D22" s="439" t="s">
        <v>3217</v>
      </c>
      <c r="E22" s="435" t="s">
        <v>451</v>
      </c>
      <c r="F22" s="435" t="s">
        <v>739</v>
      </c>
      <c r="G22" s="435" t="s">
        <v>1144</v>
      </c>
      <c r="H22" s="436" t="s">
        <v>3218</v>
      </c>
      <c r="I22" s="486">
        <v>266000</v>
      </c>
      <c r="J22" s="486"/>
      <c r="K22" s="486"/>
      <c r="L22" s="486">
        <v>7025</v>
      </c>
      <c r="M22" s="486">
        <v>7025</v>
      </c>
      <c r="N22" s="538"/>
      <c r="O22" s="486">
        <f t="shared" si="1"/>
        <v>251950</v>
      </c>
    </row>
    <row r="23" spans="1:15" s="440" customFormat="1" ht="131.25" x14ac:dyDescent="0.2">
      <c r="A23" s="438"/>
      <c r="B23" s="437" t="s">
        <v>3219</v>
      </c>
      <c r="C23" s="439" t="s">
        <v>3220</v>
      </c>
      <c r="D23" s="439" t="s">
        <v>3221</v>
      </c>
      <c r="E23" s="435" t="s">
        <v>1185</v>
      </c>
      <c r="F23" s="435" t="s">
        <v>739</v>
      </c>
      <c r="G23" s="435" t="s">
        <v>2154</v>
      </c>
      <c r="H23" s="436" t="s">
        <v>3222</v>
      </c>
      <c r="I23" s="486">
        <v>333000</v>
      </c>
      <c r="J23" s="486">
        <v>0</v>
      </c>
      <c r="K23" s="486">
        <v>0</v>
      </c>
      <c r="L23" s="486">
        <v>0</v>
      </c>
      <c r="M23" s="486">
        <v>126000</v>
      </c>
      <c r="N23" s="538"/>
      <c r="O23" s="486">
        <f t="shared" si="1"/>
        <v>207000</v>
      </c>
    </row>
    <row r="24" spans="1:15" s="440" customFormat="1" ht="131.25" x14ac:dyDescent="0.2">
      <c r="A24" s="438"/>
      <c r="B24" s="437" t="s">
        <v>3219</v>
      </c>
      <c r="C24" s="439" t="s">
        <v>3220</v>
      </c>
      <c r="D24" s="439" t="s">
        <v>3221</v>
      </c>
      <c r="E24" s="435" t="s">
        <v>2155</v>
      </c>
      <c r="F24" s="435" t="s">
        <v>739</v>
      </c>
      <c r="G24" s="435" t="s">
        <v>2154</v>
      </c>
      <c r="H24" s="436" t="s">
        <v>3223</v>
      </c>
      <c r="I24" s="486">
        <v>153960</v>
      </c>
      <c r="J24" s="486">
        <v>0</v>
      </c>
      <c r="K24" s="486">
        <v>0</v>
      </c>
      <c r="L24" s="486">
        <v>0</v>
      </c>
      <c r="M24" s="486">
        <v>54000</v>
      </c>
      <c r="N24" s="538"/>
      <c r="O24" s="486">
        <f t="shared" si="1"/>
        <v>99960</v>
      </c>
    </row>
    <row r="25" spans="1:15" s="440" customFormat="1" ht="131.25" x14ac:dyDescent="0.2">
      <c r="A25" s="438"/>
      <c r="B25" s="437" t="s">
        <v>3219</v>
      </c>
      <c r="C25" s="439" t="s">
        <v>3224</v>
      </c>
      <c r="D25" s="439" t="s">
        <v>3225</v>
      </c>
      <c r="E25" s="435" t="s">
        <v>1185</v>
      </c>
      <c r="F25" s="435" t="s">
        <v>739</v>
      </c>
      <c r="G25" s="435" t="s">
        <v>1763</v>
      </c>
      <c r="H25" s="436" t="s">
        <v>3226</v>
      </c>
      <c r="I25" s="486">
        <v>225000</v>
      </c>
      <c r="J25" s="486">
        <v>0</v>
      </c>
      <c r="K25" s="486">
        <v>0</v>
      </c>
      <c r="L25" s="486">
        <v>0</v>
      </c>
      <c r="M25" s="486">
        <v>102000</v>
      </c>
      <c r="N25" s="538"/>
      <c r="O25" s="486">
        <f t="shared" si="1"/>
        <v>123000</v>
      </c>
    </row>
    <row r="26" spans="1:15" s="440" customFormat="1" ht="131.25" x14ac:dyDescent="0.2">
      <c r="A26" s="438"/>
      <c r="B26" s="437" t="s">
        <v>3219</v>
      </c>
      <c r="C26" s="439" t="s">
        <v>3224</v>
      </c>
      <c r="D26" s="439" t="s">
        <v>3225</v>
      </c>
      <c r="E26" s="435" t="s">
        <v>2155</v>
      </c>
      <c r="F26" s="435" t="s">
        <v>739</v>
      </c>
      <c r="G26" s="435" t="s">
        <v>1763</v>
      </c>
      <c r="H26" s="436" t="s">
        <v>3227</v>
      </c>
      <c r="I26" s="486">
        <v>134500</v>
      </c>
      <c r="J26" s="486">
        <v>0</v>
      </c>
      <c r="K26" s="486">
        <v>0</v>
      </c>
      <c r="L26" s="486">
        <v>0</v>
      </c>
      <c r="M26" s="486">
        <v>59500</v>
      </c>
      <c r="N26" s="538"/>
      <c r="O26" s="486">
        <f t="shared" si="1"/>
        <v>75000</v>
      </c>
    </row>
    <row r="27" spans="1:15" s="440" customFormat="1" ht="93.75" x14ac:dyDescent="0.2">
      <c r="A27" s="438"/>
      <c r="B27" s="437" t="s">
        <v>3219</v>
      </c>
      <c r="C27" s="439" t="s">
        <v>3228</v>
      </c>
      <c r="D27" s="439" t="s">
        <v>3229</v>
      </c>
      <c r="E27" s="435" t="s">
        <v>1251</v>
      </c>
      <c r="F27" s="435" t="s">
        <v>3199</v>
      </c>
      <c r="G27" s="435" t="s">
        <v>1763</v>
      </c>
      <c r="H27" s="436" t="s">
        <v>3230</v>
      </c>
      <c r="I27" s="486">
        <v>320454</v>
      </c>
      <c r="J27" s="486">
        <v>0</v>
      </c>
      <c r="K27" s="486">
        <v>0</v>
      </c>
      <c r="L27" s="486">
        <v>72727</v>
      </c>
      <c r="M27" s="486">
        <v>72727</v>
      </c>
      <c r="N27" s="538"/>
      <c r="O27" s="486">
        <f t="shared" si="1"/>
        <v>175000</v>
      </c>
    </row>
    <row r="28" spans="1:15" s="440" customFormat="1" ht="112.5" x14ac:dyDescent="0.2">
      <c r="A28" s="438"/>
      <c r="B28" s="437" t="s">
        <v>3231</v>
      </c>
      <c r="C28" s="439" t="s">
        <v>3232</v>
      </c>
      <c r="D28" s="439" t="s">
        <v>3233</v>
      </c>
      <c r="E28" s="435" t="s">
        <v>2155</v>
      </c>
      <c r="F28" s="435" t="s">
        <v>739</v>
      </c>
      <c r="G28" s="435" t="s">
        <v>1144</v>
      </c>
      <c r="H28" s="436" t="s">
        <v>3234</v>
      </c>
      <c r="I28" s="486">
        <v>693975</v>
      </c>
      <c r="J28" s="486">
        <v>0</v>
      </c>
      <c r="K28" s="486">
        <v>0</v>
      </c>
      <c r="L28" s="486">
        <v>34698.75</v>
      </c>
      <c r="M28" s="486">
        <v>34698.75</v>
      </c>
      <c r="N28" s="538"/>
      <c r="O28" s="486">
        <f t="shared" si="1"/>
        <v>624577.5</v>
      </c>
    </row>
    <row r="29" spans="1:15" s="440" customFormat="1" ht="131.25" x14ac:dyDescent="0.2">
      <c r="A29" s="438"/>
      <c r="B29" s="437">
        <v>244257</v>
      </c>
      <c r="C29" s="490" t="s">
        <v>1109</v>
      </c>
      <c r="D29" s="396" t="s">
        <v>3235</v>
      </c>
      <c r="E29" s="435" t="s">
        <v>1251</v>
      </c>
      <c r="F29" s="435" t="s">
        <v>3199</v>
      </c>
      <c r="G29" s="435" t="s">
        <v>1198</v>
      </c>
      <c r="H29" s="436" t="s">
        <v>3236</v>
      </c>
      <c r="I29" s="486">
        <f>142500+25000</f>
        <v>167500</v>
      </c>
      <c r="J29" s="486">
        <v>0</v>
      </c>
      <c r="K29" s="486">
        <v>0</v>
      </c>
      <c r="L29" s="486">
        <v>8375</v>
      </c>
      <c r="M29" s="486">
        <v>8375</v>
      </c>
      <c r="N29" s="538"/>
      <c r="O29" s="486">
        <f t="shared" si="1"/>
        <v>150750</v>
      </c>
    </row>
    <row r="30" spans="1:15" s="440" customFormat="1" x14ac:dyDescent="0.2">
      <c r="A30" s="388" t="s">
        <v>360</v>
      </c>
      <c r="B30" s="389"/>
      <c r="C30" s="491"/>
      <c r="D30" s="390"/>
      <c r="E30" s="391"/>
      <c r="F30" s="391"/>
      <c r="G30" s="391"/>
      <c r="H30" s="392"/>
      <c r="I30" s="393">
        <f>SUM(I31:I43)</f>
        <v>1111380</v>
      </c>
      <c r="J30" s="393">
        <f>SUM(J31:J43)</f>
        <v>21200</v>
      </c>
      <c r="K30" s="393">
        <f>SUM(K31:K43)</f>
        <v>21200</v>
      </c>
      <c r="L30" s="393">
        <f>SUM(L31:L43)</f>
        <v>19369</v>
      </c>
      <c r="M30" s="393">
        <f>SUM(M31:M43)</f>
        <v>19369</v>
      </c>
      <c r="N30" s="537"/>
      <c r="O30" s="393">
        <f>SUM(O31:O43)</f>
        <v>1030242</v>
      </c>
    </row>
    <row r="31" spans="1:15" s="440" customFormat="1" ht="131.25" x14ac:dyDescent="0.2">
      <c r="A31" s="438"/>
      <c r="B31" s="437" t="s">
        <v>3043</v>
      </c>
      <c r="C31" s="439" t="s">
        <v>3052</v>
      </c>
      <c r="D31" s="439" t="s">
        <v>3053</v>
      </c>
      <c r="E31" s="435" t="s">
        <v>3054</v>
      </c>
      <c r="F31" s="435" t="s">
        <v>360</v>
      </c>
      <c r="G31" s="435" t="s">
        <v>3047</v>
      </c>
      <c r="H31" s="436" t="s">
        <v>3237</v>
      </c>
      <c r="I31" s="486">
        <v>80000</v>
      </c>
      <c r="J31" s="486">
        <v>0</v>
      </c>
      <c r="K31" s="486">
        <v>0</v>
      </c>
      <c r="L31" s="486">
        <v>0</v>
      </c>
      <c r="M31" s="486">
        <v>0</v>
      </c>
      <c r="N31" s="538" t="s">
        <v>3048</v>
      </c>
      <c r="O31" s="486">
        <f t="shared" ref="O31:O43" si="2">+I31-(SUM(J31:N31))</f>
        <v>80000</v>
      </c>
    </row>
    <row r="32" spans="1:15" s="440" customFormat="1" ht="112.5" x14ac:dyDescent="0.2">
      <c r="A32" s="438"/>
      <c r="B32" s="437" t="s">
        <v>3043</v>
      </c>
      <c r="C32" s="439" t="s">
        <v>3055</v>
      </c>
      <c r="D32" s="439" t="s">
        <v>3056</v>
      </c>
      <c r="E32" s="435" t="s">
        <v>1115</v>
      </c>
      <c r="F32" s="435" t="s">
        <v>360</v>
      </c>
      <c r="G32" s="435" t="s">
        <v>3047</v>
      </c>
      <c r="H32" s="436" t="s">
        <v>3238</v>
      </c>
      <c r="I32" s="486">
        <v>80000</v>
      </c>
      <c r="J32" s="486">
        <v>0</v>
      </c>
      <c r="K32" s="486">
        <v>0</v>
      </c>
      <c r="L32" s="486">
        <v>0</v>
      </c>
      <c r="M32" s="486">
        <v>0</v>
      </c>
      <c r="N32" s="538" t="s">
        <v>3048</v>
      </c>
      <c r="O32" s="486">
        <f t="shared" si="2"/>
        <v>80000</v>
      </c>
    </row>
    <row r="33" spans="1:15" s="440" customFormat="1" ht="112.5" x14ac:dyDescent="0.2">
      <c r="A33" s="438"/>
      <c r="B33" s="437" t="s">
        <v>3043</v>
      </c>
      <c r="C33" s="439" t="s">
        <v>3057</v>
      </c>
      <c r="D33" s="439" t="s">
        <v>3058</v>
      </c>
      <c r="E33" s="435" t="s">
        <v>3059</v>
      </c>
      <c r="F33" s="435" t="s">
        <v>360</v>
      </c>
      <c r="G33" s="435" t="s">
        <v>3047</v>
      </c>
      <c r="H33" s="436" t="s">
        <v>3239</v>
      </c>
      <c r="I33" s="486">
        <v>80000</v>
      </c>
      <c r="J33" s="486">
        <v>0</v>
      </c>
      <c r="K33" s="486">
        <v>0</v>
      </c>
      <c r="L33" s="486">
        <v>0</v>
      </c>
      <c r="M33" s="486">
        <v>0</v>
      </c>
      <c r="N33" s="538" t="s">
        <v>3048</v>
      </c>
      <c r="O33" s="486">
        <f t="shared" si="2"/>
        <v>80000</v>
      </c>
    </row>
    <row r="34" spans="1:15" s="440" customFormat="1" ht="150" x14ac:dyDescent="0.2">
      <c r="A34" s="438"/>
      <c r="B34" s="437" t="s">
        <v>3023</v>
      </c>
      <c r="C34" s="439" t="s">
        <v>3024</v>
      </c>
      <c r="D34" s="439" t="s">
        <v>3025</v>
      </c>
      <c r="E34" s="435" t="s">
        <v>2583</v>
      </c>
      <c r="F34" s="435" t="s">
        <v>360</v>
      </c>
      <c r="G34" s="435" t="s">
        <v>1144</v>
      </c>
      <c r="H34" s="436" t="s">
        <v>3240</v>
      </c>
      <c r="I34" s="486">
        <v>95000</v>
      </c>
      <c r="J34" s="486">
        <v>0</v>
      </c>
      <c r="K34" s="486">
        <v>0</v>
      </c>
      <c r="L34" s="486">
        <v>4750</v>
      </c>
      <c r="M34" s="486">
        <v>4750</v>
      </c>
      <c r="N34" s="538"/>
      <c r="O34" s="486">
        <f t="shared" si="2"/>
        <v>85500</v>
      </c>
    </row>
    <row r="35" spans="1:15" s="568" customFormat="1" ht="243.75" x14ac:dyDescent="0.2">
      <c r="A35" s="566"/>
      <c r="B35" s="567" t="s">
        <v>3471</v>
      </c>
      <c r="C35" s="378" t="s">
        <v>3146</v>
      </c>
      <c r="D35" s="378" t="s">
        <v>3472</v>
      </c>
      <c r="E35" s="374" t="s">
        <v>2514</v>
      </c>
      <c r="F35" s="374" t="s">
        <v>360</v>
      </c>
      <c r="G35" s="374" t="s">
        <v>3147</v>
      </c>
      <c r="H35" s="375" t="s">
        <v>3473</v>
      </c>
      <c r="I35" s="379">
        <f>16000+144000</f>
        <v>160000</v>
      </c>
      <c r="J35" s="379">
        <v>8000</v>
      </c>
      <c r="K35" s="379">
        <v>8000</v>
      </c>
      <c r="L35" s="379">
        <v>0</v>
      </c>
      <c r="M35" s="379">
        <v>0</v>
      </c>
      <c r="N35" s="363"/>
      <c r="O35" s="379">
        <f>+I35-(SUM(J35:N35))</f>
        <v>144000</v>
      </c>
    </row>
    <row r="36" spans="1:15" s="440" customFormat="1" ht="112.5" x14ac:dyDescent="0.2">
      <c r="A36" s="438"/>
      <c r="B36" s="437" t="s">
        <v>3215</v>
      </c>
      <c r="C36" s="439" t="s">
        <v>3241</v>
      </c>
      <c r="D36" s="439" t="s">
        <v>3242</v>
      </c>
      <c r="E36" s="435" t="s">
        <v>3059</v>
      </c>
      <c r="F36" s="435" t="s">
        <v>360</v>
      </c>
      <c r="G36" s="435" t="s">
        <v>3047</v>
      </c>
      <c r="H36" s="436" t="s">
        <v>3243</v>
      </c>
      <c r="I36" s="486">
        <v>20000</v>
      </c>
      <c r="J36" s="486">
        <v>0</v>
      </c>
      <c r="K36" s="486">
        <v>0</v>
      </c>
      <c r="L36" s="486">
        <v>0</v>
      </c>
      <c r="M36" s="486">
        <v>0</v>
      </c>
      <c r="N36" s="538" t="s">
        <v>3048</v>
      </c>
      <c r="O36" s="486">
        <f t="shared" si="2"/>
        <v>20000</v>
      </c>
    </row>
    <row r="37" spans="1:15" s="440" customFormat="1" ht="131.25" x14ac:dyDescent="0.2">
      <c r="A37" s="438"/>
      <c r="B37" s="437" t="s">
        <v>3215</v>
      </c>
      <c r="C37" s="439" t="s">
        <v>3244</v>
      </c>
      <c r="D37" s="439" t="s">
        <v>3245</v>
      </c>
      <c r="E37" s="435" t="s">
        <v>3054</v>
      </c>
      <c r="F37" s="435" t="s">
        <v>360</v>
      </c>
      <c r="G37" s="435" t="s">
        <v>3047</v>
      </c>
      <c r="H37" s="436" t="s">
        <v>3246</v>
      </c>
      <c r="I37" s="486">
        <v>20000</v>
      </c>
      <c r="J37" s="486">
        <v>0</v>
      </c>
      <c r="K37" s="486">
        <v>0</v>
      </c>
      <c r="L37" s="486">
        <v>0</v>
      </c>
      <c r="M37" s="486">
        <v>0</v>
      </c>
      <c r="N37" s="538" t="s">
        <v>3048</v>
      </c>
      <c r="O37" s="486">
        <f t="shared" si="2"/>
        <v>20000</v>
      </c>
    </row>
    <row r="38" spans="1:15" s="440" customFormat="1" ht="112.5" x14ac:dyDescent="0.2">
      <c r="A38" s="438"/>
      <c r="B38" s="437" t="s">
        <v>3215</v>
      </c>
      <c r="C38" s="439" t="s">
        <v>3247</v>
      </c>
      <c r="D38" s="439" t="s">
        <v>3248</v>
      </c>
      <c r="E38" s="435" t="s">
        <v>1115</v>
      </c>
      <c r="F38" s="435" t="s">
        <v>360</v>
      </c>
      <c r="G38" s="435" t="s">
        <v>3047</v>
      </c>
      <c r="H38" s="436" t="s">
        <v>3249</v>
      </c>
      <c r="I38" s="486">
        <v>20000</v>
      </c>
      <c r="J38" s="486">
        <v>0</v>
      </c>
      <c r="K38" s="486">
        <v>0</v>
      </c>
      <c r="L38" s="486">
        <v>0</v>
      </c>
      <c r="M38" s="486">
        <v>0</v>
      </c>
      <c r="N38" s="538" t="s">
        <v>3048</v>
      </c>
      <c r="O38" s="486">
        <f t="shared" si="2"/>
        <v>20000</v>
      </c>
    </row>
    <row r="39" spans="1:15" s="440" customFormat="1" ht="150" x14ac:dyDescent="0.2">
      <c r="A39" s="438"/>
      <c r="B39" s="437" t="s">
        <v>3231</v>
      </c>
      <c r="C39" s="439" t="s">
        <v>3250</v>
      </c>
      <c r="D39" s="439" t="s">
        <v>3251</v>
      </c>
      <c r="E39" s="435" t="s">
        <v>3252</v>
      </c>
      <c r="F39" s="435" t="s">
        <v>360</v>
      </c>
      <c r="G39" s="435" t="s">
        <v>3253</v>
      </c>
      <c r="H39" s="436" t="s">
        <v>3254</v>
      </c>
      <c r="I39" s="486">
        <f>7988+71892</f>
        <v>79880</v>
      </c>
      <c r="J39" s="486">
        <v>0</v>
      </c>
      <c r="K39" s="486">
        <v>0</v>
      </c>
      <c r="L39" s="486">
        <v>3994</v>
      </c>
      <c r="M39" s="486">
        <v>3994</v>
      </c>
      <c r="N39" s="538"/>
      <c r="O39" s="486">
        <f t="shared" si="2"/>
        <v>71892</v>
      </c>
    </row>
    <row r="40" spans="1:15" s="440" customFormat="1" ht="150" x14ac:dyDescent="0.2">
      <c r="A40" s="438"/>
      <c r="B40" s="437" t="s">
        <v>3231</v>
      </c>
      <c r="C40" s="439" t="s">
        <v>3255</v>
      </c>
      <c r="D40" s="439" t="s">
        <v>3256</v>
      </c>
      <c r="E40" s="435" t="s">
        <v>1115</v>
      </c>
      <c r="F40" s="435" t="s">
        <v>360</v>
      </c>
      <c r="G40" s="435"/>
      <c r="H40" s="436" t="s">
        <v>3257</v>
      </c>
      <c r="I40" s="486">
        <f>9250+83250</f>
        <v>92500</v>
      </c>
      <c r="J40" s="486">
        <v>0</v>
      </c>
      <c r="K40" s="486">
        <v>0</v>
      </c>
      <c r="L40" s="486">
        <v>4625</v>
      </c>
      <c r="M40" s="486">
        <v>4625</v>
      </c>
      <c r="N40" s="538"/>
      <c r="O40" s="486">
        <f t="shared" si="2"/>
        <v>83250</v>
      </c>
    </row>
    <row r="41" spans="1:15" s="440" customFormat="1" ht="112.5" x14ac:dyDescent="0.2">
      <c r="A41" s="438"/>
      <c r="B41" s="437" t="s">
        <v>3231</v>
      </c>
      <c r="C41" s="439" t="s">
        <v>3258</v>
      </c>
      <c r="D41" s="439" t="s">
        <v>3259</v>
      </c>
      <c r="E41" s="435" t="s">
        <v>3260</v>
      </c>
      <c r="F41" s="435" t="s">
        <v>360</v>
      </c>
      <c r="G41" s="435" t="s">
        <v>1116</v>
      </c>
      <c r="H41" s="436" t="s">
        <v>3261</v>
      </c>
      <c r="I41" s="486">
        <v>75240</v>
      </c>
      <c r="J41" s="486">
        <v>3762</v>
      </c>
      <c r="K41" s="486">
        <v>3762</v>
      </c>
      <c r="L41" s="486">
        <v>0</v>
      </c>
      <c r="M41" s="486">
        <v>0</v>
      </c>
      <c r="N41" s="538"/>
      <c r="O41" s="486">
        <f t="shared" si="2"/>
        <v>67716</v>
      </c>
    </row>
    <row r="42" spans="1:15" s="440" customFormat="1" ht="131.25" x14ac:dyDescent="0.2">
      <c r="A42" s="438"/>
      <c r="B42" s="437">
        <v>244257</v>
      </c>
      <c r="C42" s="490" t="s">
        <v>1109</v>
      </c>
      <c r="D42" s="439" t="s">
        <v>3235</v>
      </c>
      <c r="E42" s="435" t="s">
        <v>3260</v>
      </c>
      <c r="F42" s="435" t="s">
        <v>360</v>
      </c>
      <c r="G42" s="435" t="s">
        <v>1116</v>
      </c>
      <c r="H42" s="436" t="s">
        <v>3262</v>
      </c>
      <c r="I42" s="486">
        <f>175560+3960+9240</f>
        <v>188760</v>
      </c>
      <c r="J42" s="486">
        <v>9438</v>
      </c>
      <c r="K42" s="486">
        <v>9438</v>
      </c>
      <c r="L42" s="486">
        <v>0</v>
      </c>
      <c r="M42" s="486">
        <v>0</v>
      </c>
      <c r="N42" s="538"/>
      <c r="O42" s="486">
        <f t="shared" si="2"/>
        <v>169884</v>
      </c>
    </row>
    <row r="43" spans="1:15" s="440" customFormat="1" ht="168.75" x14ac:dyDescent="0.2">
      <c r="A43" s="438"/>
      <c r="B43" s="437">
        <v>244257</v>
      </c>
      <c r="C43" s="490" t="s">
        <v>1109</v>
      </c>
      <c r="D43" s="439" t="s">
        <v>3235</v>
      </c>
      <c r="E43" s="435" t="s">
        <v>2583</v>
      </c>
      <c r="F43" s="435" t="s">
        <v>360</v>
      </c>
      <c r="G43" s="435" t="s">
        <v>1144</v>
      </c>
      <c r="H43" s="436" t="s">
        <v>3263</v>
      </c>
      <c r="I43" s="486">
        <f>95000+25000</f>
        <v>120000</v>
      </c>
      <c r="J43" s="486">
        <v>0</v>
      </c>
      <c r="K43" s="486">
        <v>0</v>
      </c>
      <c r="L43" s="486">
        <v>6000</v>
      </c>
      <c r="M43" s="486">
        <v>6000</v>
      </c>
      <c r="N43" s="538"/>
      <c r="O43" s="486">
        <f t="shared" si="2"/>
        <v>108000</v>
      </c>
    </row>
    <row r="44" spans="1:15" s="440" customFormat="1" x14ac:dyDescent="0.2">
      <c r="A44" s="388" t="s">
        <v>2126</v>
      </c>
      <c r="B44" s="389"/>
      <c r="C44" s="390"/>
      <c r="D44" s="390"/>
      <c r="E44" s="391"/>
      <c r="F44" s="391"/>
      <c r="G44" s="391"/>
      <c r="H44" s="392"/>
      <c r="I44" s="393">
        <f>SUM(I45:I48)</f>
        <v>381500</v>
      </c>
      <c r="J44" s="393">
        <f t="shared" ref="J44:O44" si="3">SUM(J45:J48)</f>
        <v>0</v>
      </c>
      <c r="K44" s="393">
        <f t="shared" si="3"/>
        <v>0</v>
      </c>
      <c r="L44" s="393">
        <f t="shared" si="3"/>
        <v>16075</v>
      </c>
      <c r="M44" s="393">
        <f t="shared" si="3"/>
        <v>16075</v>
      </c>
      <c r="N44" s="537"/>
      <c r="O44" s="393">
        <f t="shared" si="3"/>
        <v>349350</v>
      </c>
    </row>
    <row r="45" spans="1:15" s="440" customFormat="1" ht="150" x14ac:dyDescent="0.2">
      <c r="A45" s="438"/>
      <c r="B45" s="437" t="s">
        <v>2906</v>
      </c>
      <c r="C45" s="439" t="s">
        <v>2907</v>
      </c>
      <c r="D45" s="439" t="s">
        <v>2908</v>
      </c>
      <c r="E45" s="435" t="s">
        <v>2610</v>
      </c>
      <c r="F45" s="435" t="s">
        <v>2126</v>
      </c>
      <c r="G45" s="435" t="s">
        <v>1144</v>
      </c>
      <c r="H45" s="436" t="s">
        <v>3264</v>
      </c>
      <c r="I45" s="486">
        <v>142500</v>
      </c>
      <c r="J45" s="486">
        <v>0</v>
      </c>
      <c r="K45" s="486">
        <v>0</v>
      </c>
      <c r="L45" s="486">
        <v>7125</v>
      </c>
      <c r="M45" s="486">
        <v>7125</v>
      </c>
      <c r="N45" s="530"/>
      <c r="O45" s="486">
        <f>+I45-(SUM(J45:N45))</f>
        <v>128250</v>
      </c>
    </row>
    <row r="46" spans="1:15" s="440" customFormat="1" ht="150" x14ac:dyDescent="0.2">
      <c r="A46" s="438"/>
      <c r="B46" s="437" t="s">
        <v>3092</v>
      </c>
      <c r="C46" s="439" t="s">
        <v>3100</v>
      </c>
      <c r="D46" s="439" t="s">
        <v>3101</v>
      </c>
      <c r="E46" s="435" t="s">
        <v>2610</v>
      </c>
      <c r="F46" s="435" t="s">
        <v>2126</v>
      </c>
      <c r="G46" s="435" t="s">
        <v>1144</v>
      </c>
      <c r="H46" s="436" t="s">
        <v>3265</v>
      </c>
      <c r="I46" s="486">
        <v>95000</v>
      </c>
      <c r="J46" s="486">
        <v>0</v>
      </c>
      <c r="K46" s="486">
        <v>0</v>
      </c>
      <c r="L46" s="486">
        <v>4750</v>
      </c>
      <c r="M46" s="486">
        <v>4750</v>
      </c>
      <c r="N46" s="538"/>
      <c r="O46" s="486">
        <f>+I46-(SUM(J46:N46))</f>
        <v>85500</v>
      </c>
    </row>
    <row r="47" spans="1:15" s="440" customFormat="1" ht="168.75" x14ac:dyDescent="0.2">
      <c r="A47" s="438"/>
      <c r="B47" s="437" t="s">
        <v>3092</v>
      </c>
      <c r="C47" s="439" t="s">
        <v>3102</v>
      </c>
      <c r="D47" s="439" t="s">
        <v>3103</v>
      </c>
      <c r="E47" s="435" t="s">
        <v>2147</v>
      </c>
      <c r="F47" s="435" t="s">
        <v>2126</v>
      </c>
      <c r="G47" s="435" t="s">
        <v>1198</v>
      </c>
      <c r="H47" s="436" t="s">
        <v>3266</v>
      </c>
      <c r="I47" s="486">
        <v>114000</v>
      </c>
      <c r="J47" s="486">
        <v>0</v>
      </c>
      <c r="K47" s="486">
        <v>0</v>
      </c>
      <c r="L47" s="486">
        <v>4200</v>
      </c>
      <c r="M47" s="486">
        <v>4200</v>
      </c>
      <c r="N47" s="538"/>
      <c r="O47" s="486">
        <f>+I47-(SUM(J47:N47))</f>
        <v>105600</v>
      </c>
    </row>
    <row r="48" spans="1:15" s="440" customFormat="1" ht="168.75" x14ac:dyDescent="0.2">
      <c r="A48" s="438"/>
      <c r="B48" s="437" t="s">
        <v>3267</v>
      </c>
      <c r="C48" s="439" t="s">
        <v>3268</v>
      </c>
      <c r="D48" s="439" t="s">
        <v>3269</v>
      </c>
      <c r="E48" s="435" t="s">
        <v>2147</v>
      </c>
      <c r="F48" s="435" t="s">
        <v>2126</v>
      </c>
      <c r="G48" s="435" t="s">
        <v>1198</v>
      </c>
      <c r="H48" s="436" t="s">
        <v>3270</v>
      </c>
      <c r="I48" s="486">
        <v>30000</v>
      </c>
      <c r="J48" s="486">
        <v>0</v>
      </c>
      <c r="K48" s="486">
        <v>0</v>
      </c>
      <c r="L48" s="486">
        <v>0</v>
      </c>
      <c r="M48" s="486">
        <v>0</v>
      </c>
      <c r="N48" s="538" t="s">
        <v>2987</v>
      </c>
      <c r="O48" s="486">
        <f>+I48-(SUM(J48:N48))</f>
        <v>30000</v>
      </c>
    </row>
    <row r="49" spans="1:15" s="440" customFormat="1" x14ac:dyDescent="0.2">
      <c r="A49" s="388" t="s">
        <v>161</v>
      </c>
      <c r="B49" s="389"/>
      <c r="C49" s="390"/>
      <c r="D49" s="390"/>
      <c r="E49" s="391"/>
      <c r="F49" s="391"/>
      <c r="G49" s="391"/>
      <c r="H49" s="392"/>
      <c r="I49" s="393">
        <f>SUM(I50:I69)</f>
        <v>4846934</v>
      </c>
      <c r="J49" s="393">
        <f t="shared" ref="J49:O49" si="4">SUM(J50:J69)</f>
        <v>2625</v>
      </c>
      <c r="K49" s="393">
        <f t="shared" si="4"/>
        <v>2625</v>
      </c>
      <c r="L49" s="393">
        <f t="shared" si="4"/>
        <v>67337.25</v>
      </c>
      <c r="M49" s="393">
        <f t="shared" si="4"/>
        <v>400337.25</v>
      </c>
      <c r="N49" s="537"/>
      <c r="O49" s="393">
        <f t="shared" si="4"/>
        <v>4374009.5</v>
      </c>
    </row>
    <row r="50" spans="1:15" s="440" customFormat="1" ht="150" x14ac:dyDescent="0.2">
      <c r="A50" s="438"/>
      <c r="B50" s="437" t="s">
        <v>2938</v>
      </c>
      <c r="C50" s="439" t="s">
        <v>3104</v>
      </c>
      <c r="D50" s="439" t="s">
        <v>2939</v>
      </c>
      <c r="E50" s="435" t="s">
        <v>914</v>
      </c>
      <c r="F50" s="435" t="s">
        <v>161</v>
      </c>
      <c r="G50" s="435" t="s">
        <v>1039</v>
      </c>
      <c r="H50" s="436" t="s">
        <v>3271</v>
      </c>
      <c r="I50" s="486">
        <v>52500</v>
      </c>
      <c r="J50" s="486">
        <v>2625</v>
      </c>
      <c r="K50" s="486">
        <v>2625</v>
      </c>
      <c r="L50" s="486">
        <v>0</v>
      </c>
      <c r="M50" s="486">
        <v>0</v>
      </c>
      <c r="N50" s="530"/>
      <c r="O50" s="486">
        <f t="shared" ref="O50:O69" si="5">+I50-(SUM(J50:N50))</f>
        <v>47250</v>
      </c>
    </row>
    <row r="51" spans="1:15" s="440" customFormat="1" ht="131.25" x14ac:dyDescent="0.2">
      <c r="A51" s="438"/>
      <c r="B51" s="437" t="s">
        <v>2963</v>
      </c>
      <c r="C51" s="439" t="s">
        <v>2964</v>
      </c>
      <c r="D51" s="439" t="s">
        <v>2965</v>
      </c>
      <c r="E51" s="435" t="s">
        <v>2590</v>
      </c>
      <c r="F51" s="435" t="s">
        <v>161</v>
      </c>
      <c r="G51" s="435" t="s">
        <v>1144</v>
      </c>
      <c r="H51" s="436" t="s">
        <v>3272</v>
      </c>
      <c r="I51" s="486">
        <v>95000</v>
      </c>
      <c r="J51" s="486">
        <v>0</v>
      </c>
      <c r="K51" s="486">
        <v>0</v>
      </c>
      <c r="L51" s="486">
        <v>4750</v>
      </c>
      <c r="M51" s="486">
        <v>4750</v>
      </c>
      <c r="N51" s="530"/>
      <c r="O51" s="486">
        <f t="shared" si="5"/>
        <v>85500</v>
      </c>
    </row>
    <row r="52" spans="1:15" s="440" customFormat="1" ht="150" x14ac:dyDescent="0.2">
      <c r="A52" s="438"/>
      <c r="B52" s="437" t="s">
        <v>2981</v>
      </c>
      <c r="C52" s="439" t="s">
        <v>2982</v>
      </c>
      <c r="D52" s="439" t="s">
        <v>2983</v>
      </c>
      <c r="E52" s="435" t="s">
        <v>2025</v>
      </c>
      <c r="F52" s="435" t="s">
        <v>161</v>
      </c>
      <c r="G52" s="435" t="s">
        <v>336</v>
      </c>
      <c r="H52" s="436" t="s">
        <v>3273</v>
      </c>
      <c r="I52" s="486">
        <v>342000</v>
      </c>
      <c r="J52" s="486">
        <v>0</v>
      </c>
      <c r="K52" s="486">
        <v>0</v>
      </c>
      <c r="L52" s="486">
        <v>28038.5</v>
      </c>
      <c r="M52" s="486">
        <v>28038.5</v>
      </c>
      <c r="N52" s="530"/>
      <c r="O52" s="486">
        <f t="shared" si="5"/>
        <v>285923</v>
      </c>
    </row>
    <row r="53" spans="1:15" s="440" customFormat="1" ht="168.75" x14ac:dyDescent="0.2">
      <c r="A53" s="438"/>
      <c r="B53" s="437" t="s">
        <v>2996</v>
      </c>
      <c r="C53" s="439" t="s">
        <v>2997</v>
      </c>
      <c r="D53" s="439" t="s">
        <v>2998</v>
      </c>
      <c r="E53" s="435" t="s">
        <v>2617</v>
      </c>
      <c r="F53" s="435" t="s">
        <v>161</v>
      </c>
      <c r="G53" s="435" t="s">
        <v>1198</v>
      </c>
      <c r="H53" s="436" t="s">
        <v>3274</v>
      </c>
      <c r="I53" s="486">
        <v>132525</v>
      </c>
      <c r="J53" s="486">
        <v>0</v>
      </c>
      <c r="K53" s="486">
        <v>0</v>
      </c>
      <c r="L53" s="486">
        <v>6626.25</v>
      </c>
      <c r="M53" s="486">
        <v>6626.25</v>
      </c>
      <c r="N53" s="530"/>
      <c r="O53" s="486">
        <f t="shared" si="5"/>
        <v>119272.5</v>
      </c>
    </row>
    <row r="54" spans="1:15" s="440" customFormat="1" ht="150" x14ac:dyDescent="0.2">
      <c r="A54" s="438"/>
      <c r="B54" s="437" t="s">
        <v>3026</v>
      </c>
      <c r="C54" s="439" t="s">
        <v>3027</v>
      </c>
      <c r="D54" s="439" t="s">
        <v>3028</v>
      </c>
      <c r="E54" s="435" t="s">
        <v>2025</v>
      </c>
      <c r="F54" s="435" t="s">
        <v>161</v>
      </c>
      <c r="G54" s="435" t="s">
        <v>336</v>
      </c>
      <c r="H54" s="436" t="s">
        <v>3275</v>
      </c>
      <c r="I54" s="486">
        <f>114000+60000</f>
        <v>174000</v>
      </c>
      <c r="J54" s="486">
        <v>0</v>
      </c>
      <c r="K54" s="486">
        <v>0</v>
      </c>
      <c r="L54" s="486">
        <v>0</v>
      </c>
      <c r="M54" s="486">
        <v>0</v>
      </c>
      <c r="N54" s="538" t="s">
        <v>2987</v>
      </c>
      <c r="O54" s="486">
        <f t="shared" si="5"/>
        <v>174000</v>
      </c>
    </row>
    <row r="55" spans="1:15" s="440" customFormat="1" ht="131.25" x14ac:dyDescent="0.2">
      <c r="A55" s="438"/>
      <c r="B55" s="437" t="s">
        <v>3029</v>
      </c>
      <c r="C55" s="439" t="s">
        <v>3030</v>
      </c>
      <c r="D55" s="439" t="s">
        <v>3031</v>
      </c>
      <c r="E55" s="435" t="s">
        <v>957</v>
      </c>
      <c r="F55" s="435" t="s">
        <v>161</v>
      </c>
      <c r="G55" s="435" t="s">
        <v>1198</v>
      </c>
      <c r="H55" s="436" t="s">
        <v>3276</v>
      </c>
      <c r="I55" s="486">
        <v>114000</v>
      </c>
      <c r="J55" s="486">
        <v>0</v>
      </c>
      <c r="K55" s="486">
        <v>0</v>
      </c>
      <c r="L55" s="486">
        <v>5700</v>
      </c>
      <c r="M55" s="486">
        <v>5700</v>
      </c>
      <c r="N55" s="538"/>
      <c r="O55" s="486">
        <f t="shared" si="5"/>
        <v>102600</v>
      </c>
    </row>
    <row r="56" spans="1:15" s="440" customFormat="1" ht="131.25" x14ac:dyDescent="0.2">
      <c r="A56" s="438"/>
      <c r="B56" s="437" t="s">
        <v>3032</v>
      </c>
      <c r="C56" s="439" t="s">
        <v>3033</v>
      </c>
      <c r="D56" s="439" t="s">
        <v>3034</v>
      </c>
      <c r="E56" s="435" t="s">
        <v>2590</v>
      </c>
      <c r="F56" s="435" t="s">
        <v>161</v>
      </c>
      <c r="G56" s="435" t="s">
        <v>1198</v>
      </c>
      <c r="H56" s="436" t="s">
        <v>3277</v>
      </c>
      <c r="I56" s="486">
        <v>142500</v>
      </c>
      <c r="J56" s="486">
        <v>0</v>
      </c>
      <c r="K56" s="486">
        <v>0</v>
      </c>
      <c r="L56" s="486">
        <v>7125</v>
      </c>
      <c r="M56" s="486">
        <v>7125</v>
      </c>
      <c r="N56" s="538"/>
      <c r="O56" s="486">
        <f t="shared" si="5"/>
        <v>128250</v>
      </c>
    </row>
    <row r="57" spans="1:15" s="440" customFormat="1" ht="131.25" x14ac:dyDescent="0.2">
      <c r="A57" s="438"/>
      <c r="B57" s="437" t="s">
        <v>3095</v>
      </c>
      <c r="C57" s="439" t="s">
        <v>3105</v>
      </c>
      <c r="D57" s="439" t="s">
        <v>3106</v>
      </c>
      <c r="E57" s="435" t="s">
        <v>2590</v>
      </c>
      <c r="F57" s="435" t="s">
        <v>161</v>
      </c>
      <c r="G57" s="435" t="s">
        <v>1144</v>
      </c>
      <c r="H57" s="436" t="s">
        <v>3278</v>
      </c>
      <c r="I57" s="486">
        <v>95000</v>
      </c>
      <c r="J57" s="486">
        <v>0</v>
      </c>
      <c r="K57" s="486">
        <v>0</v>
      </c>
      <c r="L57" s="486">
        <v>3500</v>
      </c>
      <c r="M57" s="486">
        <v>3500</v>
      </c>
      <c r="N57" s="538"/>
      <c r="O57" s="486">
        <f t="shared" si="5"/>
        <v>88000</v>
      </c>
    </row>
    <row r="58" spans="1:15" s="440" customFormat="1" ht="150" x14ac:dyDescent="0.2">
      <c r="A58" s="438"/>
      <c r="B58" s="437" t="s">
        <v>3089</v>
      </c>
      <c r="C58" s="439" t="s">
        <v>3090</v>
      </c>
      <c r="D58" s="439" t="s">
        <v>3091</v>
      </c>
      <c r="E58" s="435" t="s">
        <v>1810</v>
      </c>
      <c r="F58" s="435" t="s">
        <v>161</v>
      </c>
      <c r="G58" s="435" t="s">
        <v>1763</v>
      </c>
      <c r="H58" s="436" t="s">
        <v>3279</v>
      </c>
      <c r="I58" s="486">
        <v>910000</v>
      </c>
      <c r="J58" s="486">
        <v>0</v>
      </c>
      <c r="K58" s="486">
        <v>0</v>
      </c>
      <c r="L58" s="486">
        <v>0</v>
      </c>
      <c r="M58" s="486">
        <v>0</v>
      </c>
      <c r="N58" s="538" t="s">
        <v>1786</v>
      </c>
      <c r="O58" s="486">
        <f t="shared" si="5"/>
        <v>910000</v>
      </c>
    </row>
    <row r="59" spans="1:15" s="440" customFormat="1" ht="150" x14ac:dyDescent="0.2">
      <c r="A59" s="438"/>
      <c r="B59" s="437" t="s">
        <v>3089</v>
      </c>
      <c r="C59" s="439" t="s">
        <v>3090</v>
      </c>
      <c r="D59" s="439" t="s">
        <v>3091</v>
      </c>
      <c r="E59" s="435" t="s">
        <v>2833</v>
      </c>
      <c r="F59" s="435" t="s">
        <v>161</v>
      </c>
      <c r="G59" s="435" t="s">
        <v>1763</v>
      </c>
      <c r="H59" s="436" t="s">
        <v>3280</v>
      </c>
      <c r="I59" s="486">
        <v>1061635</v>
      </c>
      <c r="J59" s="486">
        <v>0</v>
      </c>
      <c r="K59" s="486">
        <v>0</v>
      </c>
      <c r="L59" s="486">
        <v>0</v>
      </c>
      <c r="M59" s="486">
        <v>0</v>
      </c>
      <c r="N59" s="538" t="s">
        <v>1786</v>
      </c>
      <c r="O59" s="486">
        <f t="shared" si="5"/>
        <v>1061635</v>
      </c>
    </row>
    <row r="60" spans="1:15" s="440" customFormat="1" ht="131.25" x14ac:dyDescent="0.2">
      <c r="A60" s="438"/>
      <c r="B60" s="437" t="s">
        <v>3107</v>
      </c>
      <c r="C60" s="439" t="s">
        <v>3108</v>
      </c>
      <c r="D60" s="439" t="s">
        <v>3109</v>
      </c>
      <c r="E60" s="435" t="s">
        <v>957</v>
      </c>
      <c r="F60" s="435" t="s">
        <v>161</v>
      </c>
      <c r="G60" s="435" t="s">
        <v>1198</v>
      </c>
      <c r="H60" s="436" t="s">
        <v>3281</v>
      </c>
      <c r="I60" s="486">
        <v>114000</v>
      </c>
      <c r="J60" s="486">
        <v>0</v>
      </c>
      <c r="K60" s="486">
        <v>0</v>
      </c>
      <c r="L60" s="486">
        <v>4472.5</v>
      </c>
      <c r="M60" s="486">
        <v>4472.5</v>
      </c>
      <c r="N60" s="538"/>
      <c r="O60" s="486">
        <f t="shared" si="5"/>
        <v>105055</v>
      </c>
    </row>
    <row r="61" spans="1:15" s="440" customFormat="1" ht="150" x14ac:dyDescent="0.2">
      <c r="A61" s="438"/>
      <c r="B61" s="437" t="s">
        <v>3092</v>
      </c>
      <c r="C61" s="439" t="s">
        <v>3093</v>
      </c>
      <c r="D61" s="439" t="s">
        <v>3094</v>
      </c>
      <c r="E61" s="435" t="s">
        <v>1810</v>
      </c>
      <c r="F61" s="435" t="s">
        <v>161</v>
      </c>
      <c r="G61" s="435" t="s">
        <v>1763</v>
      </c>
      <c r="H61" s="436" t="s">
        <v>3282</v>
      </c>
      <c r="I61" s="486">
        <v>401864</v>
      </c>
      <c r="J61" s="486">
        <v>0</v>
      </c>
      <c r="K61" s="486">
        <v>0</v>
      </c>
      <c r="L61" s="486">
        <v>0</v>
      </c>
      <c r="M61" s="486">
        <v>0</v>
      </c>
      <c r="N61" s="538" t="s">
        <v>1786</v>
      </c>
      <c r="O61" s="486">
        <f t="shared" si="5"/>
        <v>401864</v>
      </c>
    </row>
    <row r="62" spans="1:15" s="440" customFormat="1" ht="131.25" x14ac:dyDescent="0.2">
      <c r="A62" s="438"/>
      <c r="B62" s="437" t="s">
        <v>3092</v>
      </c>
      <c r="C62" s="439" t="s">
        <v>3093</v>
      </c>
      <c r="D62" s="439" t="s">
        <v>3094</v>
      </c>
      <c r="E62" s="435" t="s">
        <v>2833</v>
      </c>
      <c r="F62" s="435" t="s">
        <v>161</v>
      </c>
      <c r="G62" s="435" t="s">
        <v>1763</v>
      </c>
      <c r="H62" s="436" t="s">
        <v>3283</v>
      </c>
      <c r="I62" s="486">
        <v>110910</v>
      </c>
      <c r="J62" s="486">
        <v>0</v>
      </c>
      <c r="K62" s="486">
        <v>0</v>
      </c>
      <c r="L62" s="486">
        <v>0</v>
      </c>
      <c r="M62" s="486">
        <v>0</v>
      </c>
      <c r="N62" s="538" t="s">
        <v>2325</v>
      </c>
      <c r="O62" s="486">
        <f t="shared" si="5"/>
        <v>110910</v>
      </c>
    </row>
    <row r="63" spans="1:15" s="440" customFormat="1" ht="131.25" x14ac:dyDescent="0.2">
      <c r="A63" s="438"/>
      <c r="B63" s="437" t="s">
        <v>3148</v>
      </c>
      <c r="C63" s="439" t="s">
        <v>3149</v>
      </c>
      <c r="D63" s="439" t="s">
        <v>3150</v>
      </c>
      <c r="E63" s="435" t="s">
        <v>957</v>
      </c>
      <c r="F63" s="435" t="s">
        <v>161</v>
      </c>
      <c r="G63" s="435" t="s">
        <v>1198</v>
      </c>
      <c r="H63" s="436" t="s">
        <v>3284</v>
      </c>
      <c r="I63" s="486">
        <v>30000</v>
      </c>
      <c r="J63" s="486">
        <v>0</v>
      </c>
      <c r="K63" s="486">
        <v>0</v>
      </c>
      <c r="L63" s="486">
        <v>0</v>
      </c>
      <c r="M63" s="486">
        <v>0</v>
      </c>
      <c r="N63" s="538" t="s">
        <v>2987</v>
      </c>
      <c r="O63" s="486">
        <f t="shared" si="5"/>
        <v>30000</v>
      </c>
    </row>
    <row r="64" spans="1:15" s="440" customFormat="1" ht="131.25" x14ac:dyDescent="0.2">
      <c r="A64" s="438"/>
      <c r="B64" s="437" t="s">
        <v>3148</v>
      </c>
      <c r="C64" s="439" t="s">
        <v>3151</v>
      </c>
      <c r="D64" s="439" t="s">
        <v>3152</v>
      </c>
      <c r="E64" s="435" t="s">
        <v>2590</v>
      </c>
      <c r="F64" s="435" t="s">
        <v>161</v>
      </c>
      <c r="G64" s="435" t="s">
        <v>1144</v>
      </c>
      <c r="H64" s="436" t="s">
        <v>3285</v>
      </c>
      <c r="I64" s="486">
        <v>25000</v>
      </c>
      <c r="J64" s="486">
        <v>0</v>
      </c>
      <c r="K64" s="486">
        <v>0</v>
      </c>
      <c r="L64" s="486">
        <v>0</v>
      </c>
      <c r="M64" s="486">
        <v>0</v>
      </c>
      <c r="N64" s="538" t="s">
        <v>2987</v>
      </c>
      <c r="O64" s="486">
        <f t="shared" si="5"/>
        <v>25000</v>
      </c>
    </row>
    <row r="65" spans="1:15" s="440" customFormat="1" ht="168.75" x14ac:dyDescent="0.2">
      <c r="A65" s="438"/>
      <c r="B65" s="437" t="s">
        <v>3219</v>
      </c>
      <c r="C65" s="439" t="s">
        <v>3220</v>
      </c>
      <c r="D65" s="439" t="s">
        <v>3221</v>
      </c>
      <c r="E65" s="435" t="s">
        <v>1810</v>
      </c>
      <c r="F65" s="435" t="s">
        <v>161</v>
      </c>
      <c r="G65" s="435" t="s">
        <v>2154</v>
      </c>
      <c r="H65" s="436" t="s">
        <v>3286</v>
      </c>
      <c r="I65" s="486">
        <v>426000</v>
      </c>
      <c r="J65" s="486">
        <v>0</v>
      </c>
      <c r="K65" s="486">
        <v>0</v>
      </c>
      <c r="L65" s="486">
        <v>0</v>
      </c>
      <c r="M65" s="486">
        <v>126000</v>
      </c>
      <c r="N65" s="538"/>
      <c r="O65" s="486">
        <f t="shared" si="5"/>
        <v>300000</v>
      </c>
    </row>
    <row r="66" spans="1:15" s="440" customFormat="1" ht="131.25" x14ac:dyDescent="0.2">
      <c r="A66" s="438"/>
      <c r="B66" s="437" t="s">
        <v>3219</v>
      </c>
      <c r="C66" s="439" t="s">
        <v>3220</v>
      </c>
      <c r="D66" s="439" t="s">
        <v>3221</v>
      </c>
      <c r="E66" s="435" t="s">
        <v>2165</v>
      </c>
      <c r="F66" s="435" t="s">
        <v>161</v>
      </c>
      <c r="G66" s="435" t="s">
        <v>2154</v>
      </c>
      <c r="H66" s="436" t="s">
        <v>3287</v>
      </c>
      <c r="I66" s="486">
        <v>85500</v>
      </c>
      <c r="J66" s="486">
        <v>0</v>
      </c>
      <c r="K66" s="486">
        <v>0</v>
      </c>
      <c r="L66" s="486">
        <v>0</v>
      </c>
      <c r="M66" s="486">
        <v>54000</v>
      </c>
      <c r="N66" s="538"/>
      <c r="O66" s="486">
        <f t="shared" si="5"/>
        <v>31500</v>
      </c>
    </row>
    <row r="67" spans="1:15" s="440" customFormat="1" ht="150" x14ac:dyDescent="0.2">
      <c r="A67" s="438"/>
      <c r="B67" s="437" t="s">
        <v>3219</v>
      </c>
      <c r="C67" s="439" t="s">
        <v>3224</v>
      </c>
      <c r="D67" s="439" t="s">
        <v>3225</v>
      </c>
      <c r="E67" s="435" t="s">
        <v>1810</v>
      </c>
      <c r="F67" s="435" t="s">
        <v>161</v>
      </c>
      <c r="G67" s="435" t="s">
        <v>1763</v>
      </c>
      <c r="H67" s="436" t="s">
        <v>3288</v>
      </c>
      <c r="I67" s="486">
        <v>271000</v>
      </c>
      <c r="J67" s="486">
        <v>0</v>
      </c>
      <c r="K67" s="486">
        <v>0</v>
      </c>
      <c r="L67" s="486">
        <v>0</v>
      </c>
      <c r="M67" s="486">
        <v>102000</v>
      </c>
      <c r="N67" s="538"/>
      <c r="O67" s="486">
        <f t="shared" si="5"/>
        <v>169000</v>
      </c>
    </row>
    <row r="68" spans="1:15" s="440" customFormat="1" ht="131.25" x14ac:dyDescent="0.2">
      <c r="A68" s="438"/>
      <c r="B68" s="437" t="s">
        <v>3219</v>
      </c>
      <c r="C68" s="439" t="s">
        <v>3224</v>
      </c>
      <c r="D68" s="439" t="s">
        <v>3225</v>
      </c>
      <c r="E68" s="435" t="s">
        <v>2833</v>
      </c>
      <c r="F68" s="435" t="s">
        <v>161</v>
      </c>
      <c r="G68" s="435" t="s">
        <v>1763</v>
      </c>
      <c r="H68" s="436" t="s">
        <v>3289</v>
      </c>
      <c r="I68" s="486">
        <v>121000</v>
      </c>
      <c r="J68" s="486">
        <v>0</v>
      </c>
      <c r="K68" s="486">
        <v>0</v>
      </c>
      <c r="L68" s="486">
        <v>0</v>
      </c>
      <c r="M68" s="486">
        <v>51000</v>
      </c>
      <c r="N68" s="538"/>
      <c r="O68" s="486">
        <f t="shared" si="5"/>
        <v>70000</v>
      </c>
    </row>
    <row r="69" spans="1:15" s="440" customFormat="1" ht="150" x14ac:dyDescent="0.2">
      <c r="A69" s="438"/>
      <c r="B69" s="437">
        <v>244257</v>
      </c>
      <c r="C69" s="490" t="s">
        <v>1109</v>
      </c>
      <c r="D69" s="439" t="s">
        <v>3235</v>
      </c>
      <c r="E69" s="435" t="s">
        <v>2590</v>
      </c>
      <c r="F69" s="435" t="s">
        <v>161</v>
      </c>
      <c r="G69" s="435" t="s">
        <v>1198</v>
      </c>
      <c r="H69" s="436" t="s">
        <v>3290</v>
      </c>
      <c r="I69" s="486">
        <v>142500</v>
      </c>
      <c r="J69" s="486">
        <v>0</v>
      </c>
      <c r="K69" s="486">
        <v>0</v>
      </c>
      <c r="L69" s="486">
        <v>7125</v>
      </c>
      <c r="M69" s="486">
        <v>7125</v>
      </c>
      <c r="N69" s="538"/>
      <c r="O69" s="486">
        <f t="shared" si="5"/>
        <v>128250</v>
      </c>
    </row>
    <row r="70" spans="1:15" s="440" customFormat="1" x14ac:dyDescent="0.2">
      <c r="A70" s="388" t="s">
        <v>156</v>
      </c>
      <c r="B70" s="389"/>
      <c r="C70" s="390"/>
      <c r="D70" s="390"/>
      <c r="E70" s="391"/>
      <c r="F70" s="391"/>
      <c r="G70" s="391"/>
      <c r="H70" s="392"/>
      <c r="I70" s="393">
        <f>SUM(I71:I76)</f>
        <v>2151265</v>
      </c>
      <c r="J70" s="393">
        <f t="shared" ref="J70:O70" si="6">SUM(J71:J76)</f>
        <v>10725</v>
      </c>
      <c r="K70" s="393">
        <f t="shared" si="6"/>
        <v>10725</v>
      </c>
      <c r="L70" s="393">
        <f t="shared" si="6"/>
        <v>50000</v>
      </c>
      <c r="M70" s="393">
        <f t="shared" si="6"/>
        <v>50000</v>
      </c>
      <c r="N70" s="537"/>
      <c r="O70" s="393">
        <f t="shared" si="6"/>
        <v>2029815</v>
      </c>
    </row>
    <row r="71" spans="1:15" s="440" customFormat="1" ht="112.5" x14ac:dyDescent="0.2">
      <c r="A71" s="438"/>
      <c r="B71" s="437" t="s">
        <v>2940</v>
      </c>
      <c r="C71" s="439" t="s">
        <v>2941</v>
      </c>
      <c r="D71" s="439" t="s">
        <v>2942</v>
      </c>
      <c r="E71" s="435" t="s">
        <v>3291</v>
      </c>
      <c r="F71" s="435" t="s">
        <v>156</v>
      </c>
      <c r="G71" s="435" t="s">
        <v>2310</v>
      </c>
      <c r="H71" s="436" t="s">
        <v>3292</v>
      </c>
      <c r="I71" s="486">
        <v>1600000</v>
      </c>
      <c r="J71" s="486">
        <v>0</v>
      </c>
      <c r="K71" s="486">
        <v>0</v>
      </c>
      <c r="L71" s="486">
        <v>50000</v>
      </c>
      <c r="M71" s="486">
        <v>50000</v>
      </c>
      <c r="N71" s="530"/>
      <c r="O71" s="486">
        <f t="shared" ref="O71:O76" si="7">+I71-(SUM(J71:N71))</f>
        <v>1500000</v>
      </c>
    </row>
    <row r="72" spans="1:15" s="440" customFormat="1" ht="131.25" x14ac:dyDescent="0.2">
      <c r="A72" s="438"/>
      <c r="B72" s="437" t="s">
        <v>2984</v>
      </c>
      <c r="C72" s="439" t="s">
        <v>2985</v>
      </c>
      <c r="D72" s="439" t="s">
        <v>2986</v>
      </c>
      <c r="E72" s="435" t="s">
        <v>3291</v>
      </c>
      <c r="F72" s="435" t="s">
        <v>156</v>
      </c>
      <c r="G72" s="435" t="s">
        <v>2855</v>
      </c>
      <c r="H72" s="436" t="s">
        <v>3293</v>
      </c>
      <c r="I72" s="486">
        <v>300000</v>
      </c>
      <c r="J72" s="486">
        <v>0</v>
      </c>
      <c r="K72" s="486">
        <v>0</v>
      </c>
      <c r="L72" s="486">
        <v>0</v>
      </c>
      <c r="M72" s="486">
        <v>0</v>
      </c>
      <c r="N72" s="538" t="s">
        <v>2987</v>
      </c>
      <c r="O72" s="486">
        <f t="shared" si="7"/>
        <v>300000</v>
      </c>
    </row>
    <row r="73" spans="1:15" s="440" customFormat="1" ht="206.25" x14ac:dyDescent="0.2">
      <c r="A73" s="438"/>
      <c r="B73" s="437" t="s">
        <v>2999</v>
      </c>
      <c r="C73" s="439" t="s">
        <v>3000</v>
      </c>
      <c r="D73" s="439" t="s">
        <v>3001</v>
      </c>
      <c r="E73" s="435" t="s">
        <v>3002</v>
      </c>
      <c r="F73" s="435" t="s">
        <v>512</v>
      </c>
      <c r="G73" s="435" t="s">
        <v>3003</v>
      </c>
      <c r="H73" s="436" t="s">
        <v>3294</v>
      </c>
      <c r="I73" s="486">
        <v>70000</v>
      </c>
      <c r="J73" s="486">
        <v>3500</v>
      </c>
      <c r="K73" s="486">
        <v>3500</v>
      </c>
      <c r="L73" s="486">
        <v>0</v>
      </c>
      <c r="M73" s="486">
        <v>0</v>
      </c>
      <c r="N73" s="530"/>
      <c r="O73" s="486">
        <f t="shared" si="7"/>
        <v>63000</v>
      </c>
    </row>
    <row r="74" spans="1:15" s="440" customFormat="1" ht="131.25" x14ac:dyDescent="0.2">
      <c r="A74" s="438"/>
      <c r="B74" s="437" t="s">
        <v>3035</v>
      </c>
      <c r="C74" s="439" t="s">
        <v>3036</v>
      </c>
      <c r="D74" s="439" t="s">
        <v>3037</v>
      </c>
      <c r="E74" s="435" t="s">
        <v>3038</v>
      </c>
      <c r="F74" s="435" t="s">
        <v>156</v>
      </c>
      <c r="G74" s="435" t="s">
        <v>1144</v>
      </c>
      <c r="H74" s="436" t="s">
        <v>3295</v>
      </c>
      <c r="I74" s="486">
        <v>36765</v>
      </c>
      <c r="J74" s="486">
        <v>0</v>
      </c>
      <c r="K74" s="486">
        <v>0</v>
      </c>
      <c r="L74" s="486">
        <v>0</v>
      </c>
      <c r="M74" s="486">
        <v>0</v>
      </c>
      <c r="N74" s="538" t="s">
        <v>2182</v>
      </c>
      <c r="O74" s="486">
        <f t="shared" si="7"/>
        <v>36765</v>
      </c>
    </row>
    <row r="75" spans="1:15" s="440" customFormat="1" ht="206.25" x14ac:dyDescent="0.2">
      <c r="A75" s="438"/>
      <c r="B75" s="437" t="s">
        <v>3141</v>
      </c>
      <c r="C75" s="439" t="s">
        <v>3153</v>
      </c>
      <c r="D75" s="439" t="s">
        <v>3154</v>
      </c>
      <c r="E75" s="435" t="s">
        <v>3002</v>
      </c>
      <c r="F75" s="435" t="s">
        <v>512</v>
      </c>
      <c r="G75" s="435" t="s">
        <v>3003</v>
      </c>
      <c r="H75" s="436" t="s">
        <v>3296</v>
      </c>
      <c r="I75" s="486">
        <v>24500</v>
      </c>
      <c r="J75" s="486">
        <v>1225</v>
      </c>
      <c r="K75" s="486">
        <v>1225</v>
      </c>
      <c r="L75" s="486">
        <v>0</v>
      </c>
      <c r="M75" s="486">
        <v>0</v>
      </c>
      <c r="N75" s="538"/>
      <c r="O75" s="486">
        <f t="shared" si="7"/>
        <v>22050</v>
      </c>
    </row>
    <row r="76" spans="1:15" s="440" customFormat="1" ht="112.5" x14ac:dyDescent="0.2">
      <c r="A76" s="438"/>
      <c r="B76" s="437" t="s">
        <v>3231</v>
      </c>
      <c r="C76" s="439" t="s">
        <v>3297</v>
      </c>
      <c r="D76" s="439" t="s">
        <v>3298</v>
      </c>
      <c r="E76" s="435" t="s">
        <v>3291</v>
      </c>
      <c r="F76" s="435" t="s">
        <v>156</v>
      </c>
      <c r="G76" s="435" t="s">
        <v>3299</v>
      </c>
      <c r="H76" s="436" t="s">
        <v>3300</v>
      </c>
      <c r="I76" s="486">
        <v>120000</v>
      </c>
      <c r="J76" s="486">
        <v>6000</v>
      </c>
      <c r="K76" s="486">
        <v>6000</v>
      </c>
      <c r="L76" s="486">
        <v>0</v>
      </c>
      <c r="M76" s="486">
        <v>0</v>
      </c>
      <c r="N76" s="538"/>
      <c r="O76" s="486">
        <f t="shared" si="7"/>
        <v>108000</v>
      </c>
    </row>
    <row r="77" spans="1:15" s="440" customFormat="1" x14ac:dyDescent="0.2">
      <c r="A77" s="388" t="s">
        <v>2434</v>
      </c>
      <c r="B77" s="389"/>
      <c r="C77" s="390"/>
      <c r="D77" s="390"/>
      <c r="E77" s="391"/>
      <c r="F77" s="391"/>
      <c r="G77" s="391"/>
      <c r="H77" s="392"/>
      <c r="I77" s="393">
        <f>SUM(I78:I116)</f>
        <v>9775905.4800000004</v>
      </c>
      <c r="J77" s="393">
        <f t="shared" ref="J77:O77" si="8">SUM(J78:J116)</f>
        <v>81403.739000000001</v>
      </c>
      <c r="K77" s="393">
        <f t="shared" si="8"/>
        <v>81403.739000000001</v>
      </c>
      <c r="L77" s="393">
        <f t="shared" si="8"/>
        <v>118017.37</v>
      </c>
      <c r="M77" s="393">
        <f t="shared" si="8"/>
        <v>391017.37</v>
      </c>
      <c r="N77" s="537"/>
      <c r="O77" s="393">
        <f t="shared" si="8"/>
        <v>9104063.2620000001</v>
      </c>
    </row>
    <row r="78" spans="1:15" s="440" customFormat="1" ht="112.5" x14ac:dyDescent="0.2">
      <c r="A78" s="438"/>
      <c r="B78" s="437" t="s">
        <v>2943</v>
      </c>
      <c r="C78" s="439" t="s">
        <v>2944</v>
      </c>
      <c r="D78" s="439" t="s">
        <v>2945</v>
      </c>
      <c r="E78" s="435" t="s">
        <v>2343</v>
      </c>
      <c r="F78" s="435" t="s">
        <v>2434</v>
      </c>
      <c r="G78" s="435" t="s">
        <v>2946</v>
      </c>
      <c r="H78" s="436" t="s">
        <v>3301</v>
      </c>
      <c r="I78" s="486">
        <v>100000</v>
      </c>
      <c r="J78" s="486">
        <v>5000</v>
      </c>
      <c r="K78" s="486">
        <v>5000</v>
      </c>
      <c r="L78" s="486">
        <v>0</v>
      </c>
      <c r="M78" s="486">
        <v>0</v>
      </c>
      <c r="N78" s="530"/>
      <c r="O78" s="486">
        <f t="shared" ref="O78:O116" si="9">+I78-(SUM(J78:N78))</f>
        <v>90000</v>
      </c>
    </row>
    <row r="79" spans="1:15" s="440" customFormat="1" ht="112.5" x14ac:dyDescent="0.2">
      <c r="A79" s="438"/>
      <c r="B79" s="437" t="s">
        <v>2966</v>
      </c>
      <c r="C79" s="439" t="s">
        <v>2967</v>
      </c>
      <c r="D79" s="439" t="s">
        <v>2968</v>
      </c>
      <c r="E79" s="435" t="s">
        <v>2670</v>
      </c>
      <c r="F79" s="435" t="s">
        <v>2434</v>
      </c>
      <c r="G79" s="435" t="s">
        <v>2671</v>
      </c>
      <c r="H79" s="436" t="s">
        <v>3302</v>
      </c>
      <c r="I79" s="486">
        <v>178635.6</v>
      </c>
      <c r="J79" s="486">
        <v>14290.85</v>
      </c>
      <c r="K79" s="486">
        <v>14290.85</v>
      </c>
      <c r="L79" s="486">
        <v>0</v>
      </c>
      <c r="M79" s="486">
        <v>0</v>
      </c>
      <c r="N79" s="530"/>
      <c r="O79" s="486">
        <f t="shared" si="9"/>
        <v>150053.9</v>
      </c>
    </row>
    <row r="80" spans="1:15" s="440" customFormat="1" ht="168.75" x14ac:dyDescent="0.2">
      <c r="A80" s="438"/>
      <c r="B80" s="437" t="s">
        <v>2963</v>
      </c>
      <c r="C80" s="439" t="s">
        <v>2969</v>
      </c>
      <c r="D80" s="439" t="s">
        <v>2970</v>
      </c>
      <c r="E80" s="435" t="s">
        <v>1722</v>
      </c>
      <c r="F80" s="435" t="s">
        <v>2434</v>
      </c>
      <c r="G80" s="435" t="s">
        <v>2461</v>
      </c>
      <c r="H80" s="436" t="s">
        <v>3303</v>
      </c>
      <c r="I80" s="486">
        <v>48000</v>
      </c>
      <c r="J80" s="486">
        <v>2400</v>
      </c>
      <c r="K80" s="486">
        <v>2400</v>
      </c>
      <c r="L80" s="486">
        <v>0</v>
      </c>
      <c r="M80" s="486">
        <v>0</v>
      </c>
      <c r="N80" s="530"/>
      <c r="O80" s="486">
        <f t="shared" si="9"/>
        <v>43200</v>
      </c>
    </row>
    <row r="81" spans="1:16" s="440" customFormat="1" ht="112.5" x14ac:dyDescent="0.2">
      <c r="A81" s="438"/>
      <c r="B81" s="437" t="s">
        <v>2963</v>
      </c>
      <c r="C81" s="439" t="s">
        <v>2971</v>
      </c>
      <c r="D81" s="439" t="s">
        <v>2972</v>
      </c>
      <c r="E81" s="435" t="s">
        <v>2670</v>
      </c>
      <c r="F81" s="435" t="s">
        <v>2434</v>
      </c>
      <c r="G81" s="435" t="s">
        <v>2671</v>
      </c>
      <c r="H81" s="436" t="s">
        <v>3304</v>
      </c>
      <c r="I81" s="486">
        <v>178635.6</v>
      </c>
      <c r="J81" s="486">
        <v>14290.85</v>
      </c>
      <c r="K81" s="486">
        <v>14290.85</v>
      </c>
      <c r="L81" s="486">
        <v>0</v>
      </c>
      <c r="M81" s="486">
        <v>0</v>
      </c>
      <c r="N81" s="530"/>
      <c r="O81" s="486">
        <f t="shared" si="9"/>
        <v>150053.9</v>
      </c>
    </row>
    <row r="82" spans="1:16" s="440" customFormat="1" ht="131.25" x14ac:dyDescent="0.2">
      <c r="A82" s="438"/>
      <c r="B82" s="437" t="s">
        <v>2984</v>
      </c>
      <c r="C82" s="439" t="s">
        <v>2988</v>
      </c>
      <c r="D82" s="439" t="s">
        <v>2989</v>
      </c>
      <c r="E82" s="435" t="s">
        <v>2627</v>
      </c>
      <c r="F82" s="435" t="s">
        <v>2434</v>
      </c>
      <c r="G82" s="435" t="s">
        <v>1144</v>
      </c>
      <c r="H82" s="436" t="s">
        <v>3305</v>
      </c>
      <c r="I82" s="486">
        <v>133000</v>
      </c>
      <c r="J82" s="486">
        <v>0</v>
      </c>
      <c r="K82" s="486">
        <v>0</v>
      </c>
      <c r="L82" s="486">
        <v>6650</v>
      </c>
      <c r="M82" s="486">
        <v>6650</v>
      </c>
      <c r="N82" s="530"/>
      <c r="O82" s="486">
        <f t="shared" si="9"/>
        <v>119700</v>
      </c>
    </row>
    <row r="83" spans="1:16" s="440" customFormat="1" ht="150" x14ac:dyDescent="0.2">
      <c r="A83" s="438"/>
      <c r="B83" s="437" t="s">
        <v>2984</v>
      </c>
      <c r="C83" s="439" t="s">
        <v>2990</v>
      </c>
      <c r="D83" s="439" t="s">
        <v>2991</v>
      </c>
      <c r="E83" s="435" t="s">
        <v>1884</v>
      </c>
      <c r="F83" s="435" t="s">
        <v>2434</v>
      </c>
      <c r="G83" s="435" t="s">
        <v>2876</v>
      </c>
      <c r="H83" s="436" t="s">
        <v>3306</v>
      </c>
      <c r="I83" s="486">
        <v>369450</v>
      </c>
      <c r="J83" s="486">
        <v>0</v>
      </c>
      <c r="K83" s="486">
        <v>0</v>
      </c>
      <c r="L83" s="486">
        <v>0</v>
      </c>
      <c r="M83" s="486">
        <v>0</v>
      </c>
      <c r="N83" s="538" t="s">
        <v>1786</v>
      </c>
      <c r="O83" s="486">
        <f t="shared" si="9"/>
        <v>369450</v>
      </c>
    </row>
    <row r="84" spans="1:16" s="440" customFormat="1" ht="150" x14ac:dyDescent="0.2">
      <c r="A84" s="438"/>
      <c r="B84" s="437" t="s">
        <v>2981</v>
      </c>
      <c r="C84" s="439" t="s">
        <v>2992</v>
      </c>
      <c r="D84" s="439" t="s">
        <v>2993</v>
      </c>
      <c r="E84" s="435" t="s">
        <v>2142</v>
      </c>
      <c r="F84" s="435" t="s">
        <v>2434</v>
      </c>
      <c r="G84" s="435" t="s">
        <v>1144</v>
      </c>
      <c r="H84" s="436" t="s">
        <v>3307</v>
      </c>
      <c r="I84" s="486">
        <v>123500</v>
      </c>
      <c r="J84" s="486">
        <v>0</v>
      </c>
      <c r="K84" s="486">
        <v>0</v>
      </c>
      <c r="L84" s="486">
        <v>6175</v>
      </c>
      <c r="M84" s="486">
        <v>6175</v>
      </c>
      <c r="N84" s="530"/>
      <c r="O84" s="486">
        <f t="shared" si="9"/>
        <v>111150</v>
      </c>
    </row>
    <row r="85" spans="1:16" s="440" customFormat="1" ht="150" x14ac:dyDescent="0.2">
      <c r="A85" s="438"/>
      <c r="B85" s="437" t="s">
        <v>3004</v>
      </c>
      <c r="C85" s="439" t="s">
        <v>3005</v>
      </c>
      <c r="D85" s="439" t="s">
        <v>3006</v>
      </c>
      <c r="E85" s="435" t="s">
        <v>451</v>
      </c>
      <c r="F85" s="435" t="s">
        <v>2434</v>
      </c>
      <c r="G85" s="435" t="s">
        <v>2154</v>
      </c>
      <c r="H85" s="436" t="s">
        <v>3308</v>
      </c>
      <c r="I85" s="486">
        <f>34100+34100</f>
        <v>68200</v>
      </c>
      <c r="J85" s="486">
        <v>0</v>
      </c>
      <c r="K85" s="486">
        <v>0</v>
      </c>
      <c r="L85" s="486">
        <v>34100</v>
      </c>
      <c r="M85" s="486">
        <v>34100</v>
      </c>
      <c r="N85" s="530"/>
      <c r="O85" s="486">
        <f t="shared" si="9"/>
        <v>0</v>
      </c>
    </row>
    <row r="86" spans="1:16" s="440" customFormat="1" ht="150" x14ac:dyDescent="0.2">
      <c r="A86" s="438"/>
      <c r="B86" s="437" t="s">
        <v>3007</v>
      </c>
      <c r="C86" s="439" t="s">
        <v>3008</v>
      </c>
      <c r="D86" s="439" t="s">
        <v>3009</v>
      </c>
      <c r="E86" s="435" t="s">
        <v>2622</v>
      </c>
      <c r="F86" s="435" t="s">
        <v>2434</v>
      </c>
      <c r="G86" s="435" t="s">
        <v>1144</v>
      </c>
      <c r="H86" s="436" t="s">
        <v>3309</v>
      </c>
      <c r="I86" s="486">
        <v>133000</v>
      </c>
      <c r="J86" s="486">
        <v>0</v>
      </c>
      <c r="K86" s="486">
        <v>0</v>
      </c>
      <c r="L86" s="486">
        <v>5679.5</v>
      </c>
      <c r="M86" s="486">
        <v>5679.5</v>
      </c>
      <c r="N86" s="530"/>
      <c r="O86" s="486">
        <f t="shared" si="9"/>
        <v>121641</v>
      </c>
    </row>
    <row r="87" spans="1:16" s="328" customFormat="1" ht="20.100000000000001" customHeight="1" x14ac:dyDescent="0.4">
      <c r="A87" s="438"/>
      <c r="B87" s="437" t="s">
        <v>3029</v>
      </c>
      <c r="C87" s="439" t="s">
        <v>3039</v>
      </c>
      <c r="D87" s="439" t="s">
        <v>3040</v>
      </c>
      <c r="E87" s="435" t="s">
        <v>2343</v>
      </c>
      <c r="F87" s="435" t="s">
        <v>2434</v>
      </c>
      <c r="G87" s="435" t="s">
        <v>2946</v>
      </c>
      <c r="H87" s="436" t="s">
        <v>3310</v>
      </c>
      <c r="I87" s="486">
        <v>98000</v>
      </c>
      <c r="J87" s="486">
        <v>4900</v>
      </c>
      <c r="K87" s="486">
        <v>4900</v>
      </c>
      <c r="L87" s="486">
        <v>0</v>
      </c>
      <c r="M87" s="486">
        <v>0</v>
      </c>
      <c r="N87" s="538"/>
      <c r="O87" s="486">
        <f t="shared" si="9"/>
        <v>88200</v>
      </c>
      <c r="P87" s="440"/>
    </row>
    <row r="88" spans="1:16" s="440" customFormat="1" ht="112.5" x14ac:dyDescent="0.2">
      <c r="A88" s="438"/>
      <c r="B88" s="437" t="s">
        <v>3072</v>
      </c>
      <c r="C88" s="439" t="s">
        <v>3073</v>
      </c>
      <c r="D88" s="439" t="s">
        <v>3074</v>
      </c>
      <c r="E88" s="435" t="s">
        <v>2142</v>
      </c>
      <c r="F88" s="435" t="s">
        <v>2434</v>
      </c>
      <c r="G88" s="435" t="s">
        <v>1144</v>
      </c>
      <c r="H88" s="436" t="s">
        <v>3311</v>
      </c>
      <c r="I88" s="486">
        <v>177555</v>
      </c>
      <c r="J88" s="486">
        <v>0</v>
      </c>
      <c r="K88" s="486">
        <v>0</v>
      </c>
      <c r="L88" s="486">
        <v>8677.8700000000008</v>
      </c>
      <c r="M88" s="486">
        <v>8677.8700000000008</v>
      </c>
      <c r="N88" s="538"/>
      <c r="O88" s="486">
        <f t="shared" si="9"/>
        <v>160199.26</v>
      </c>
    </row>
    <row r="89" spans="1:16" s="440" customFormat="1" ht="112.5" x14ac:dyDescent="0.2">
      <c r="A89" s="438"/>
      <c r="B89" s="437" t="s">
        <v>3095</v>
      </c>
      <c r="C89" s="439" t="s">
        <v>3110</v>
      </c>
      <c r="D89" s="439" t="s">
        <v>3111</v>
      </c>
      <c r="E89" s="435" t="s">
        <v>2174</v>
      </c>
      <c r="F89" s="435" t="s">
        <v>2434</v>
      </c>
      <c r="G89" s="435" t="s">
        <v>1198</v>
      </c>
      <c r="H89" s="436" t="s">
        <v>3312</v>
      </c>
      <c r="I89" s="486">
        <v>34084</v>
      </c>
      <c r="J89" s="486">
        <v>0</v>
      </c>
      <c r="K89" s="486">
        <v>0</v>
      </c>
      <c r="L89" s="486">
        <v>11360</v>
      </c>
      <c r="M89" s="486">
        <v>11360</v>
      </c>
      <c r="N89" s="538"/>
      <c r="O89" s="486">
        <f t="shared" si="9"/>
        <v>11364</v>
      </c>
    </row>
    <row r="90" spans="1:16" s="440" customFormat="1" ht="168.75" x14ac:dyDescent="0.2">
      <c r="A90" s="438"/>
      <c r="B90" s="437" t="s">
        <v>3095</v>
      </c>
      <c r="C90" s="439" t="s">
        <v>3116</v>
      </c>
      <c r="D90" s="439" t="s">
        <v>3117</v>
      </c>
      <c r="E90" s="435" t="s">
        <v>3118</v>
      </c>
      <c r="F90" s="435" t="s">
        <v>3313</v>
      </c>
      <c r="G90" s="435" t="s">
        <v>930</v>
      </c>
      <c r="H90" s="436" t="s">
        <v>3314</v>
      </c>
      <c r="I90" s="486">
        <v>972700</v>
      </c>
      <c r="J90" s="486">
        <v>0</v>
      </c>
      <c r="K90" s="486">
        <v>0</v>
      </c>
      <c r="L90" s="486">
        <v>0</v>
      </c>
      <c r="M90" s="486">
        <v>0</v>
      </c>
      <c r="N90" s="538" t="s">
        <v>1786</v>
      </c>
      <c r="O90" s="486">
        <f t="shared" si="9"/>
        <v>972700</v>
      </c>
    </row>
    <row r="91" spans="1:16" s="440" customFormat="1" ht="168.75" x14ac:dyDescent="0.2">
      <c r="A91" s="438"/>
      <c r="B91" s="437" t="s">
        <v>3089</v>
      </c>
      <c r="C91" s="439" t="s">
        <v>3090</v>
      </c>
      <c r="D91" s="439" t="s">
        <v>3091</v>
      </c>
      <c r="E91" s="435" t="s">
        <v>2861</v>
      </c>
      <c r="F91" s="435" t="s">
        <v>2434</v>
      </c>
      <c r="G91" s="435" t="s">
        <v>1763</v>
      </c>
      <c r="H91" s="436" t="s">
        <v>3315</v>
      </c>
      <c r="I91" s="486">
        <v>1678550</v>
      </c>
      <c r="J91" s="486">
        <v>0</v>
      </c>
      <c r="K91" s="486">
        <v>0</v>
      </c>
      <c r="L91" s="486">
        <v>0</v>
      </c>
      <c r="M91" s="486">
        <v>0</v>
      </c>
      <c r="N91" s="538" t="s">
        <v>1786</v>
      </c>
      <c r="O91" s="486">
        <f t="shared" si="9"/>
        <v>1678550</v>
      </c>
    </row>
    <row r="92" spans="1:16" s="440" customFormat="1" ht="150" x14ac:dyDescent="0.2">
      <c r="A92" s="438"/>
      <c r="B92" s="437" t="s">
        <v>3092</v>
      </c>
      <c r="C92" s="439" t="s">
        <v>3093</v>
      </c>
      <c r="D92" s="439" t="s">
        <v>3094</v>
      </c>
      <c r="E92" s="435" t="s">
        <v>2861</v>
      </c>
      <c r="F92" s="435" t="s">
        <v>2434</v>
      </c>
      <c r="G92" s="435" t="s">
        <v>1763</v>
      </c>
      <c r="H92" s="436" t="s">
        <v>3316</v>
      </c>
      <c r="I92" s="486">
        <v>342450</v>
      </c>
      <c r="J92" s="486">
        <v>0</v>
      </c>
      <c r="K92" s="486">
        <v>0</v>
      </c>
      <c r="L92" s="486">
        <v>0</v>
      </c>
      <c r="M92" s="486">
        <v>0</v>
      </c>
      <c r="N92" s="538" t="s">
        <v>1786</v>
      </c>
      <c r="O92" s="486">
        <f t="shared" si="9"/>
        <v>342450</v>
      </c>
    </row>
    <row r="93" spans="1:16" s="440" customFormat="1" ht="150" x14ac:dyDescent="0.2">
      <c r="A93" s="438"/>
      <c r="B93" s="437" t="s">
        <v>3092</v>
      </c>
      <c r="C93" s="439" t="s">
        <v>3112</v>
      </c>
      <c r="D93" s="439" t="s">
        <v>3113</v>
      </c>
      <c r="E93" s="435" t="s">
        <v>2142</v>
      </c>
      <c r="F93" s="435" t="s">
        <v>2434</v>
      </c>
      <c r="G93" s="435" t="s">
        <v>1144</v>
      </c>
      <c r="H93" s="436" t="s">
        <v>3317</v>
      </c>
      <c r="I93" s="486">
        <v>123500</v>
      </c>
      <c r="J93" s="486">
        <v>0</v>
      </c>
      <c r="K93" s="486">
        <v>0</v>
      </c>
      <c r="L93" s="486">
        <v>2300</v>
      </c>
      <c r="M93" s="486">
        <v>2300</v>
      </c>
      <c r="N93" s="538"/>
      <c r="O93" s="486">
        <f t="shared" si="9"/>
        <v>118900</v>
      </c>
    </row>
    <row r="94" spans="1:16" s="440" customFormat="1" ht="150" x14ac:dyDescent="0.2">
      <c r="A94" s="438"/>
      <c r="B94" s="437" t="s">
        <v>3092</v>
      </c>
      <c r="C94" s="439" t="s">
        <v>3114</v>
      </c>
      <c r="D94" s="439" t="s">
        <v>3115</v>
      </c>
      <c r="E94" s="435" t="s">
        <v>2622</v>
      </c>
      <c r="F94" s="435" t="s">
        <v>2434</v>
      </c>
      <c r="G94" s="435" t="s">
        <v>1144</v>
      </c>
      <c r="H94" s="436" t="s">
        <v>3318</v>
      </c>
      <c r="I94" s="486">
        <v>66500</v>
      </c>
      <c r="J94" s="486">
        <v>0</v>
      </c>
      <c r="K94" s="486">
        <v>0</v>
      </c>
      <c r="L94" s="486">
        <v>0</v>
      </c>
      <c r="M94" s="486">
        <v>0</v>
      </c>
      <c r="N94" s="538" t="s">
        <v>2987</v>
      </c>
      <c r="O94" s="486">
        <f t="shared" si="9"/>
        <v>66500</v>
      </c>
    </row>
    <row r="95" spans="1:16" s="440" customFormat="1" ht="131.25" x14ac:dyDescent="0.2">
      <c r="A95" s="438"/>
      <c r="B95" s="437" t="s">
        <v>3124</v>
      </c>
      <c r="C95" s="439" t="s">
        <v>3127</v>
      </c>
      <c r="D95" s="439" t="s">
        <v>3128</v>
      </c>
      <c r="E95" s="435" t="s">
        <v>2231</v>
      </c>
      <c r="F95" s="435" t="s">
        <v>2434</v>
      </c>
      <c r="G95" s="435" t="s">
        <v>1144</v>
      </c>
      <c r="H95" s="436" t="s">
        <v>3319</v>
      </c>
      <c r="I95" s="486">
        <v>475000</v>
      </c>
      <c r="J95" s="486">
        <v>0</v>
      </c>
      <c r="K95" s="486">
        <v>0</v>
      </c>
      <c r="L95" s="486">
        <v>23750</v>
      </c>
      <c r="M95" s="486">
        <v>23750</v>
      </c>
      <c r="N95" s="538"/>
      <c r="O95" s="486">
        <f t="shared" si="9"/>
        <v>427500</v>
      </c>
    </row>
    <row r="96" spans="1:16" s="440" customFormat="1" ht="168.75" x14ac:dyDescent="0.2">
      <c r="A96" s="438"/>
      <c r="B96" s="437" t="s">
        <v>3124</v>
      </c>
      <c r="C96" s="439" t="s">
        <v>3129</v>
      </c>
      <c r="D96" s="439" t="s">
        <v>3130</v>
      </c>
      <c r="E96" s="435" t="s">
        <v>1722</v>
      </c>
      <c r="F96" s="435" t="s">
        <v>2434</v>
      </c>
      <c r="G96" s="435" t="s">
        <v>2461</v>
      </c>
      <c r="H96" s="436" t="s">
        <v>3320</v>
      </c>
      <c r="I96" s="486">
        <v>12000</v>
      </c>
      <c r="J96" s="486">
        <v>600</v>
      </c>
      <c r="K96" s="486">
        <v>600</v>
      </c>
      <c r="L96" s="486">
        <v>0</v>
      </c>
      <c r="M96" s="486">
        <v>0</v>
      </c>
      <c r="N96" s="538"/>
      <c r="O96" s="486">
        <f t="shared" si="9"/>
        <v>10800</v>
      </c>
    </row>
    <row r="97" spans="1:15" s="440" customFormat="1" ht="225" x14ac:dyDescent="0.2">
      <c r="A97" s="438"/>
      <c r="B97" s="437" t="s">
        <v>3141</v>
      </c>
      <c r="C97" s="439" t="s">
        <v>3155</v>
      </c>
      <c r="D97" s="439" t="s">
        <v>3156</v>
      </c>
      <c r="E97" s="435" t="s">
        <v>3157</v>
      </c>
      <c r="F97" s="435" t="s">
        <v>2434</v>
      </c>
      <c r="G97" s="435" t="s">
        <v>3158</v>
      </c>
      <c r="H97" s="436" t="s">
        <v>3321</v>
      </c>
      <c r="I97" s="486">
        <v>30000</v>
      </c>
      <c r="J97" s="486">
        <v>1500</v>
      </c>
      <c r="K97" s="486">
        <v>1500</v>
      </c>
      <c r="L97" s="486">
        <v>0</v>
      </c>
      <c r="M97" s="486">
        <v>0</v>
      </c>
      <c r="N97" s="538"/>
      <c r="O97" s="486">
        <f t="shared" si="9"/>
        <v>27000</v>
      </c>
    </row>
    <row r="98" spans="1:15" s="440" customFormat="1" ht="112.5" x14ac:dyDescent="0.2">
      <c r="A98" s="438"/>
      <c r="B98" s="437" t="s">
        <v>3159</v>
      </c>
      <c r="C98" s="439" t="s">
        <v>3160</v>
      </c>
      <c r="D98" s="439" t="s">
        <v>3161</v>
      </c>
      <c r="E98" s="435" t="s">
        <v>2135</v>
      </c>
      <c r="F98" s="435" t="s">
        <v>2434</v>
      </c>
      <c r="G98" s="435" t="s">
        <v>1198</v>
      </c>
      <c r="H98" s="436" t="s">
        <v>3322</v>
      </c>
      <c r="I98" s="486">
        <v>85500</v>
      </c>
      <c r="J98" s="486">
        <v>0</v>
      </c>
      <c r="K98" s="486">
        <v>0</v>
      </c>
      <c r="L98" s="486">
        <v>3300</v>
      </c>
      <c r="M98" s="486">
        <v>3300</v>
      </c>
      <c r="N98" s="538"/>
      <c r="O98" s="486">
        <f t="shared" si="9"/>
        <v>78900</v>
      </c>
    </row>
    <row r="99" spans="1:15" s="440" customFormat="1" ht="131.25" x14ac:dyDescent="0.2">
      <c r="A99" s="438"/>
      <c r="B99" s="437" t="s">
        <v>3162</v>
      </c>
      <c r="C99" s="439" t="s">
        <v>3163</v>
      </c>
      <c r="D99" s="439" t="s">
        <v>3164</v>
      </c>
      <c r="E99" s="435" t="s">
        <v>451</v>
      </c>
      <c r="F99" s="435" t="s">
        <v>2434</v>
      </c>
      <c r="G99" s="435" t="s">
        <v>2565</v>
      </c>
      <c r="H99" s="436" t="s">
        <v>3323</v>
      </c>
      <c r="I99" s="486">
        <v>106440.78</v>
      </c>
      <c r="J99" s="486">
        <v>5322.0390000000007</v>
      </c>
      <c r="K99" s="486">
        <v>5322.0390000000007</v>
      </c>
      <c r="L99" s="486">
        <v>0</v>
      </c>
      <c r="M99" s="486">
        <v>0</v>
      </c>
      <c r="N99" s="538"/>
      <c r="O99" s="486">
        <f t="shared" si="9"/>
        <v>95796.70199999999</v>
      </c>
    </row>
    <row r="100" spans="1:15" s="440" customFormat="1" ht="112.5" x14ac:dyDescent="0.2">
      <c r="A100" s="438"/>
      <c r="B100" s="437" t="s">
        <v>3162</v>
      </c>
      <c r="C100" s="439" t="s">
        <v>3165</v>
      </c>
      <c r="D100" s="439" t="s">
        <v>3166</v>
      </c>
      <c r="E100" s="435" t="s">
        <v>2142</v>
      </c>
      <c r="F100" s="435" t="s">
        <v>2434</v>
      </c>
      <c r="G100" s="435" t="s">
        <v>1144</v>
      </c>
      <c r="H100" s="436" t="s">
        <v>3324</v>
      </c>
      <c r="I100" s="486">
        <v>88777.5</v>
      </c>
      <c r="J100" s="486">
        <v>0</v>
      </c>
      <c r="K100" s="486">
        <v>0</v>
      </c>
      <c r="L100" s="486">
        <v>0</v>
      </c>
      <c r="M100" s="486">
        <v>0</v>
      </c>
      <c r="N100" s="538" t="s">
        <v>2987</v>
      </c>
      <c r="O100" s="486">
        <f t="shared" si="9"/>
        <v>88777.5</v>
      </c>
    </row>
    <row r="101" spans="1:15" s="440" customFormat="1" ht="150" x14ac:dyDescent="0.2">
      <c r="A101" s="438"/>
      <c r="B101" s="437" t="s">
        <v>3167</v>
      </c>
      <c r="C101" s="439" t="s">
        <v>3168</v>
      </c>
      <c r="D101" s="439" t="s">
        <v>3169</v>
      </c>
      <c r="E101" s="435" t="s">
        <v>2670</v>
      </c>
      <c r="F101" s="435" t="s">
        <v>2434</v>
      </c>
      <c r="G101" s="435" t="s">
        <v>2781</v>
      </c>
      <c r="H101" s="436" t="s">
        <v>3325</v>
      </c>
      <c r="I101" s="486">
        <v>400000</v>
      </c>
      <c r="J101" s="486">
        <v>32000</v>
      </c>
      <c r="K101" s="486">
        <v>32000</v>
      </c>
      <c r="L101" s="486">
        <v>0</v>
      </c>
      <c r="M101" s="486">
        <v>0</v>
      </c>
      <c r="N101" s="538"/>
      <c r="O101" s="486">
        <f t="shared" si="9"/>
        <v>336000</v>
      </c>
    </row>
    <row r="102" spans="1:15" s="440" customFormat="1" ht="168.75" x14ac:dyDescent="0.2">
      <c r="A102" s="438"/>
      <c r="B102" s="437" t="s">
        <v>3176</v>
      </c>
      <c r="C102" s="439" t="s">
        <v>3194</v>
      </c>
      <c r="D102" s="439" t="s">
        <v>3195</v>
      </c>
      <c r="E102" s="435" t="s">
        <v>3118</v>
      </c>
      <c r="F102" s="435" t="s">
        <v>3313</v>
      </c>
      <c r="G102" s="435" t="s">
        <v>930</v>
      </c>
      <c r="H102" s="436" t="s">
        <v>3326</v>
      </c>
      <c r="I102" s="486">
        <v>1842800</v>
      </c>
      <c r="J102" s="486">
        <v>0</v>
      </c>
      <c r="K102" s="486">
        <v>0</v>
      </c>
      <c r="L102" s="486">
        <v>0</v>
      </c>
      <c r="M102" s="486">
        <v>0</v>
      </c>
      <c r="N102" s="538" t="s">
        <v>1786</v>
      </c>
      <c r="O102" s="486">
        <f t="shared" si="9"/>
        <v>1842800</v>
      </c>
    </row>
    <row r="103" spans="1:15" s="440" customFormat="1" ht="168.75" x14ac:dyDescent="0.2">
      <c r="A103" s="438"/>
      <c r="B103" s="437" t="s">
        <v>3211</v>
      </c>
      <c r="C103" s="439" t="s">
        <v>3327</v>
      </c>
      <c r="D103" s="439" t="s">
        <v>3328</v>
      </c>
      <c r="E103" s="435" t="s">
        <v>2598</v>
      </c>
      <c r="F103" s="435" t="s">
        <v>2434</v>
      </c>
      <c r="G103" s="435" t="s">
        <v>1198</v>
      </c>
      <c r="H103" s="436" t="s">
        <v>3329</v>
      </c>
      <c r="I103" s="486">
        <v>57380</v>
      </c>
      <c r="J103" s="486">
        <v>0</v>
      </c>
      <c r="K103" s="486">
        <v>0</v>
      </c>
      <c r="L103" s="486">
        <v>0</v>
      </c>
      <c r="M103" s="486">
        <v>0</v>
      </c>
      <c r="N103" s="538" t="s">
        <v>2987</v>
      </c>
      <c r="O103" s="486">
        <f t="shared" si="9"/>
        <v>57380</v>
      </c>
    </row>
    <row r="104" spans="1:15" s="440" customFormat="1" ht="187.5" x14ac:dyDescent="0.2">
      <c r="A104" s="438"/>
      <c r="B104" s="437" t="s">
        <v>3267</v>
      </c>
      <c r="C104" s="439" t="s">
        <v>3330</v>
      </c>
      <c r="D104" s="439" t="s">
        <v>3331</v>
      </c>
      <c r="E104" s="435" t="s">
        <v>3332</v>
      </c>
      <c r="F104" s="435" t="s">
        <v>2434</v>
      </c>
      <c r="G104" s="435" t="s">
        <v>1763</v>
      </c>
      <c r="H104" s="436" t="s">
        <v>3333</v>
      </c>
      <c r="I104" s="486">
        <v>586818</v>
      </c>
      <c r="J104" s="486">
        <v>0</v>
      </c>
      <c r="K104" s="486">
        <v>0</v>
      </c>
      <c r="L104" s="486">
        <v>0</v>
      </c>
      <c r="M104" s="486">
        <v>0</v>
      </c>
      <c r="N104" s="538" t="s">
        <v>3334</v>
      </c>
      <c r="O104" s="486">
        <f t="shared" si="9"/>
        <v>586818</v>
      </c>
    </row>
    <row r="105" spans="1:15" s="440" customFormat="1" ht="131.25" x14ac:dyDescent="0.2">
      <c r="A105" s="438"/>
      <c r="B105" s="437" t="s">
        <v>3215</v>
      </c>
      <c r="C105" s="439" t="s">
        <v>3335</v>
      </c>
      <c r="D105" s="439" t="s">
        <v>3336</v>
      </c>
      <c r="E105" s="435" t="s">
        <v>2627</v>
      </c>
      <c r="F105" s="435" t="s">
        <v>2434</v>
      </c>
      <c r="G105" s="435" t="s">
        <v>1144</v>
      </c>
      <c r="H105" s="436" t="s">
        <v>3337</v>
      </c>
      <c r="I105" s="486">
        <v>66500</v>
      </c>
      <c r="J105" s="486">
        <v>0</v>
      </c>
      <c r="K105" s="486">
        <v>0</v>
      </c>
      <c r="L105" s="486">
        <v>1775</v>
      </c>
      <c r="M105" s="486">
        <v>1775</v>
      </c>
      <c r="N105" s="538"/>
      <c r="O105" s="486">
        <f t="shared" si="9"/>
        <v>62950</v>
      </c>
    </row>
    <row r="106" spans="1:15" s="440" customFormat="1" ht="150" x14ac:dyDescent="0.2">
      <c r="A106" s="438"/>
      <c r="B106" s="437" t="s">
        <v>3215</v>
      </c>
      <c r="C106" s="439" t="s">
        <v>3338</v>
      </c>
      <c r="D106" s="439" t="s">
        <v>3339</v>
      </c>
      <c r="E106" s="435" t="s">
        <v>2142</v>
      </c>
      <c r="F106" s="435" t="s">
        <v>2434</v>
      </c>
      <c r="G106" s="435" t="s">
        <v>1144</v>
      </c>
      <c r="H106" s="436" t="s">
        <v>3340</v>
      </c>
      <c r="I106" s="486">
        <v>32500</v>
      </c>
      <c r="J106" s="486">
        <v>0</v>
      </c>
      <c r="K106" s="486">
        <v>0</v>
      </c>
      <c r="L106" s="486">
        <v>0</v>
      </c>
      <c r="M106" s="486">
        <v>0</v>
      </c>
      <c r="N106" s="538" t="s">
        <v>2987</v>
      </c>
      <c r="O106" s="486">
        <f t="shared" si="9"/>
        <v>32500</v>
      </c>
    </row>
    <row r="107" spans="1:15" s="440" customFormat="1" ht="112.5" x14ac:dyDescent="0.2">
      <c r="A107" s="438"/>
      <c r="B107" s="437" t="s">
        <v>3215</v>
      </c>
      <c r="C107" s="439" t="s">
        <v>3341</v>
      </c>
      <c r="D107" s="439" t="s">
        <v>3342</v>
      </c>
      <c r="E107" s="435" t="s">
        <v>2343</v>
      </c>
      <c r="F107" s="435" t="s">
        <v>2434</v>
      </c>
      <c r="G107" s="435" t="s">
        <v>2946</v>
      </c>
      <c r="H107" s="436" t="s">
        <v>3343</v>
      </c>
      <c r="I107" s="486">
        <v>22000</v>
      </c>
      <c r="J107" s="486">
        <v>1100</v>
      </c>
      <c r="K107" s="486">
        <v>1100</v>
      </c>
      <c r="L107" s="486">
        <v>0</v>
      </c>
      <c r="M107" s="486">
        <v>0</v>
      </c>
      <c r="N107" s="538"/>
      <c r="O107" s="486">
        <f t="shared" si="9"/>
        <v>19800</v>
      </c>
    </row>
    <row r="108" spans="1:15" s="440" customFormat="1" ht="150" x14ac:dyDescent="0.2">
      <c r="A108" s="438"/>
      <c r="B108" s="437" t="s">
        <v>3215</v>
      </c>
      <c r="C108" s="439" t="s">
        <v>3344</v>
      </c>
      <c r="D108" s="439" t="s">
        <v>3345</v>
      </c>
      <c r="E108" s="435" t="s">
        <v>2622</v>
      </c>
      <c r="F108" s="435" t="s">
        <v>2434</v>
      </c>
      <c r="G108" s="435" t="s">
        <v>1144</v>
      </c>
      <c r="H108" s="436" t="s">
        <v>3346</v>
      </c>
      <c r="I108" s="486">
        <v>35000</v>
      </c>
      <c r="J108" s="486">
        <v>0</v>
      </c>
      <c r="K108" s="486">
        <v>0</v>
      </c>
      <c r="L108" s="486">
        <v>0</v>
      </c>
      <c r="M108" s="486">
        <v>0</v>
      </c>
      <c r="N108" s="538" t="s">
        <v>2987</v>
      </c>
      <c r="O108" s="486">
        <f t="shared" si="9"/>
        <v>35000</v>
      </c>
    </row>
    <row r="109" spans="1:15" s="440" customFormat="1" ht="131.25" x14ac:dyDescent="0.2">
      <c r="A109" s="438"/>
      <c r="B109" s="437" t="s">
        <v>3347</v>
      </c>
      <c r="C109" s="439" t="s">
        <v>3348</v>
      </c>
      <c r="D109" s="439" t="s">
        <v>3349</v>
      </c>
      <c r="E109" s="435" t="s">
        <v>2627</v>
      </c>
      <c r="F109" s="435" t="s">
        <v>2434</v>
      </c>
      <c r="G109" s="435" t="s">
        <v>1144</v>
      </c>
      <c r="H109" s="436" t="s">
        <v>3350</v>
      </c>
      <c r="I109" s="486">
        <v>35000</v>
      </c>
      <c r="J109" s="486"/>
      <c r="K109" s="486"/>
      <c r="L109" s="486">
        <v>0</v>
      </c>
      <c r="M109" s="486">
        <v>0</v>
      </c>
      <c r="N109" s="538" t="s">
        <v>2987</v>
      </c>
      <c r="O109" s="486">
        <f t="shared" si="9"/>
        <v>35000</v>
      </c>
    </row>
    <row r="110" spans="1:15" s="440" customFormat="1" ht="150" x14ac:dyDescent="0.2">
      <c r="A110" s="438"/>
      <c r="B110" s="437" t="s">
        <v>3219</v>
      </c>
      <c r="C110" s="439" t="s">
        <v>3220</v>
      </c>
      <c r="D110" s="439" t="s">
        <v>3221</v>
      </c>
      <c r="E110" s="435" t="s">
        <v>1894</v>
      </c>
      <c r="F110" s="435" t="s">
        <v>2434</v>
      </c>
      <c r="G110" s="435" t="s">
        <v>2154</v>
      </c>
      <c r="H110" s="436" t="s">
        <v>3351</v>
      </c>
      <c r="I110" s="486">
        <v>347604</v>
      </c>
      <c r="J110" s="486">
        <v>0</v>
      </c>
      <c r="K110" s="486">
        <v>0</v>
      </c>
      <c r="L110" s="486">
        <v>0</v>
      </c>
      <c r="M110" s="486">
        <v>126000</v>
      </c>
      <c r="N110" s="538"/>
      <c r="O110" s="486">
        <f t="shared" si="9"/>
        <v>221604</v>
      </c>
    </row>
    <row r="111" spans="1:15" s="440" customFormat="1" ht="168.75" x14ac:dyDescent="0.2">
      <c r="A111" s="438"/>
      <c r="B111" s="437" t="s">
        <v>3219</v>
      </c>
      <c r="C111" s="439" t="s">
        <v>3224</v>
      </c>
      <c r="D111" s="439" t="s">
        <v>3221</v>
      </c>
      <c r="E111" s="435" t="s">
        <v>2190</v>
      </c>
      <c r="F111" s="435" t="s">
        <v>2434</v>
      </c>
      <c r="G111" s="435" t="s">
        <v>2154</v>
      </c>
      <c r="H111" s="436" t="s">
        <v>3352</v>
      </c>
      <c r="I111" s="486">
        <v>135000</v>
      </c>
      <c r="J111" s="486">
        <v>0</v>
      </c>
      <c r="K111" s="486">
        <v>0</v>
      </c>
      <c r="L111" s="486">
        <v>0</v>
      </c>
      <c r="M111" s="486">
        <v>45000</v>
      </c>
      <c r="N111" s="538"/>
      <c r="O111" s="486">
        <f t="shared" si="9"/>
        <v>90000</v>
      </c>
    </row>
    <row r="112" spans="1:15" s="440" customFormat="1" ht="150" x14ac:dyDescent="0.2">
      <c r="A112" s="438"/>
      <c r="B112" s="437" t="s">
        <v>3219</v>
      </c>
      <c r="C112" s="439" t="s">
        <v>3224</v>
      </c>
      <c r="D112" s="439" t="s">
        <v>3225</v>
      </c>
      <c r="E112" s="435" t="s">
        <v>2861</v>
      </c>
      <c r="F112" s="435" t="s">
        <v>2434</v>
      </c>
      <c r="G112" s="435" t="s">
        <v>1763</v>
      </c>
      <c r="H112" s="436" t="s">
        <v>3353</v>
      </c>
      <c r="I112" s="486">
        <v>177600</v>
      </c>
      <c r="J112" s="486">
        <v>0</v>
      </c>
      <c r="K112" s="486">
        <v>0</v>
      </c>
      <c r="L112" s="486">
        <v>0</v>
      </c>
      <c r="M112" s="486">
        <v>102000</v>
      </c>
      <c r="N112" s="538"/>
      <c r="O112" s="486">
        <f t="shared" si="9"/>
        <v>75600</v>
      </c>
    </row>
    <row r="113" spans="1:15" s="440" customFormat="1" ht="93.75" x14ac:dyDescent="0.2">
      <c r="A113" s="438"/>
      <c r="B113" s="437" t="s">
        <v>3219</v>
      </c>
      <c r="C113" s="439" t="s">
        <v>3354</v>
      </c>
      <c r="D113" s="439" t="s">
        <v>3355</v>
      </c>
      <c r="E113" s="435" t="s">
        <v>2135</v>
      </c>
      <c r="F113" s="435" t="s">
        <v>2434</v>
      </c>
      <c r="G113" s="435" t="s">
        <v>1198</v>
      </c>
      <c r="H113" s="436" t="s">
        <v>3356</v>
      </c>
      <c r="I113" s="486">
        <v>22500</v>
      </c>
      <c r="J113" s="486">
        <v>0</v>
      </c>
      <c r="K113" s="486">
        <v>0</v>
      </c>
      <c r="L113" s="486">
        <v>0</v>
      </c>
      <c r="M113" s="486">
        <v>0</v>
      </c>
      <c r="N113" s="538" t="s">
        <v>2987</v>
      </c>
      <c r="O113" s="486">
        <f t="shared" si="9"/>
        <v>22500</v>
      </c>
    </row>
    <row r="114" spans="1:15" s="440" customFormat="1" ht="300" x14ac:dyDescent="0.2">
      <c r="A114" s="438"/>
      <c r="B114" s="437" t="s">
        <v>3231</v>
      </c>
      <c r="C114" s="439" t="s">
        <v>3357</v>
      </c>
      <c r="D114" s="439" t="s">
        <v>3358</v>
      </c>
      <c r="E114" s="435" t="s">
        <v>2181</v>
      </c>
      <c r="F114" s="435" t="s">
        <v>2434</v>
      </c>
      <c r="G114" s="435" t="s">
        <v>1198</v>
      </c>
      <c r="H114" s="436" t="s">
        <v>3359</v>
      </c>
      <c r="I114" s="486">
        <v>60000</v>
      </c>
      <c r="J114" s="486"/>
      <c r="K114" s="486"/>
      <c r="L114" s="486">
        <v>0</v>
      </c>
      <c r="M114" s="486">
        <v>0</v>
      </c>
      <c r="N114" s="538" t="s">
        <v>2182</v>
      </c>
      <c r="O114" s="486">
        <f t="shared" si="9"/>
        <v>60000</v>
      </c>
    </row>
    <row r="115" spans="1:15" s="440" customFormat="1" ht="112.5" x14ac:dyDescent="0.2">
      <c r="A115" s="438"/>
      <c r="B115" s="437" t="s">
        <v>3231</v>
      </c>
      <c r="C115" s="439" t="s">
        <v>3360</v>
      </c>
      <c r="D115" s="439" t="s">
        <v>3361</v>
      </c>
      <c r="E115" s="435" t="s">
        <v>2142</v>
      </c>
      <c r="F115" s="435" t="s">
        <v>2434</v>
      </c>
      <c r="G115" s="435" t="s">
        <v>1144</v>
      </c>
      <c r="H115" s="436" t="s">
        <v>3362</v>
      </c>
      <c r="I115" s="486">
        <v>46725</v>
      </c>
      <c r="J115" s="486">
        <v>0</v>
      </c>
      <c r="K115" s="486">
        <v>0</v>
      </c>
      <c r="L115" s="486">
        <v>0</v>
      </c>
      <c r="M115" s="486">
        <v>0</v>
      </c>
      <c r="N115" s="538" t="s">
        <v>2987</v>
      </c>
      <c r="O115" s="486">
        <f t="shared" si="9"/>
        <v>46725</v>
      </c>
    </row>
    <row r="116" spans="1:15" s="440" customFormat="1" ht="131.25" x14ac:dyDescent="0.2">
      <c r="A116" s="438"/>
      <c r="B116" s="437">
        <v>244257</v>
      </c>
      <c r="C116" s="490" t="s">
        <v>1109</v>
      </c>
      <c r="D116" s="396" t="s">
        <v>3235</v>
      </c>
      <c r="E116" s="435" t="s">
        <v>2231</v>
      </c>
      <c r="F116" s="435" t="s">
        <v>2434</v>
      </c>
      <c r="G116" s="435" t="s">
        <v>1144</v>
      </c>
      <c r="H116" s="436" t="s">
        <v>3363</v>
      </c>
      <c r="I116" s="486">
        <v>285000</v>
      </c>
      <c r="J116" s="486">
        <v>0</v>
      </c>
      <c r="K116" s="486">
        <v>0</v>
      </c>
      <c r="L116" s="486">
        <v>14250</v>
      </c>
      <c r="M116" s="486">
        <v>14250</v>
      </c>
      <c r="N116" s="538"/>
      <c r="O116" s="486">
        <f t="shared" si="9"/>
        <v>256500</v>
      </c>
    </row>
    <row r="117" spans="1:15" s="440" customFormat="1" x14ac:dyDescent="0.2">
      <c r="A117" s="388" t="s">
        <v>1229</v>
      </c>
      <c r="B117" s="389"/>
      <c r="C117" s="390"/>
      <c r="D117" s="390"/>
      <c r="E117" s="391"/>
      <c r="F117" s="391"/>
      <c r="G117" s="391"/>
      <c r="H117" s="392"/>
      <c r="I117" s="393">
        <f>SUM(I118:I121)</f>
        <v>465000</v>
      </c>
      <c r="J117" s="393">
        <f t="shared" ref="J117:O117" si="10">SUM(J118:J121)</f>
        <v>9000</v>
      </c>
      <c r="K117" s="393">
        <f t="shared" si="10"/>
        <v>9000</v>
      </c>
      <c r="L117" s="393">
        <f t="shared" si="10"/>
        <v>14250</v>
      </c>
      <c r="M117" s="393">
        <f t="shared" si="10"/>
        <v>14250</v>
      </c>
      <c r="N117" s="537"/>
      <c r="O117" s="393">
        <f t="shared" si="10"/>
        <v>418500</v>
      </c>
    </row>
    <row r="118" spans="1:15" s="440" customFormat="1" ht="93.75" x14ac:dyDescent="0.2">
      <c r="A118" s="438"/>
      <c r="B118" s="437" t="s">
        <v>3007</v>
      </c>
      <c r="C118" s="439" t="s">
        <v>3010</v>
      </c>
      <c r="D118" s="439" t="s">
        <v>3011</v>
      </c>
      <c r="E118" s="435" t="s">
        <v>3012</v>
      </c>
      <c r="F118" s="435" t="s">
        <v>1229</v>
      </c>
      <c r="G118" s="435" t="s">
        <v>3013</v>
      </c>
      <c r="H118" s="436" t="s">
        <v>3364</v>
      </c>
      <c r="I118" s="486">
        <v>90000</v>
      </c>
      <c r="J118" s="486">
        <v>4500</v>
      </c>
      <c r="K118" s="486">
        <v>4500</v>
      </c>
      <c r="L118" s="486">
        <v>0</v>
      </c>
      <c r="M118" s="486">
        <v>0</v>
      </c>
      <c r="N118" s="530"/>
      <c r="O118" s="486">
        <f>+I118-(SUM(J118:N118))</f>
        <v>81000</v>
      </c>
    </row>
    <row r="119" spans="1:15" s="440" customFormat="1" ht="131.25" x14ac:dyDescent="0.2">
      <c r="A119" s="438"/>
      <c r="B119" s="437" t="s">
        <v>3035</v>
      </c>
      <c r="C119" s="439" t="s">
        <v>3041</v>
      </c>
      <c r="D119" s="439" t="s">
        <v>3042</v>
      </c>
      <c r="E119" s="435" t="s">
        <v>2142</v>
      </c>
      <c r="F119" s="435" t="s">
        <v>1229</v>
      </c>
      <c r="G119" s="435" t="s">
        <v>1144</v>
      </c>
      <c r="H119" s="436" t="s">
        <v>3365</v>
      </c>
      <c r="I119" s="486">
        <v>142500</v>
      </c>
      <c r="J119" s="486">
        <v>0</v>
      </c>
      <c r="K119" s="486">
        <v>0</v>
      </c>
      <c r="L119" s="486">
        <v>7125</v>
      </c>
      <c r="M119" s="486">
        <v>7125</v>
      </c>
      <c r="N119" s="538"/>
      <c r="O119" s="486">
        <f>+I119-(SUM(J119:N119))</f>
        <v>128250</v>
      </c>
    </row>
    <row r="120" spans="1:15" s="440" customFormat="1" ht="93.75" x14ac:dyDescent="0.2">
      <c r="A120" s="438"/>
      <c r="B120" s="437" t="s">
        <v>3176</v>
      </c>
      <c r="C120" s="439" t="s">
        <v>3177</v>
      </c>
      <c r="D120" s="439" t="s">
        <v>3178</v>
      </c>
      <c r="E120" s="435" t="s">
        <v>3012</v>
      </c>
      <c r="F120" s="435" t="s">
        <v>1229</v>
      </c>
      <c r="G120" s="435" t="s">
        <v>3013</v>
      </c>
      <c r="H120" s="436" t="s">
        <v>3366</v>
      </c>
      <c r="I120" s="486">
        <v>90000</v>
      </c>
      <c r="J120" s="486">
        <v>4500</v>
      </c>
      <c r="K120" s="486">
        <v>4500</v>
      </c>
      <c r="L120" s="486">
        <v>0</v>
      </c>
      <c r="M120" s="486">
        <v>0</v>
      </c>
      <c r="N120" s="538"/>
      <c r="O120" s="486">
        <f>+I120-(SUM(J120:N120))</f>
        <v>81000</v>
      </c>
    </row>
    <row r="121" spans="1:15" s="440" customFormat="1" ht="131.25" x14ac:dyDescent="0.2">
      <c r="A121" s="438"/>
      <c r="B121" s="437" t="s">
        <v>3347</v>
      </c>
      <c r="C121" s="439" t="s">
        <v>3367</v>
      </c>
      <c r="D121" s="439" t="s">
        <v>3368</v>
      </c>
      <c r="E121" s="435" t="s">
        <v>2142</v>
      </c>
      <c r="F121" s="435" t="s">
        <v>1229</v>
      </c>
      <c r="G121" s="435" t="s">
        <v>1144</v>
      </c>
      <c r="H121" s="436" t="s">
        <v>3369</v>
      </c>
      <c r="I121" s="486">
        <v>142500</v>
      </c>
      <c r="J121" s="486">
        <v>0</v>
      </c>
      <c r="K121" s="486">
        <v>0</v>
      </c>
      <c r="L121" s="486">
        <v>7125</v>
      </c>
      <c r="M121" s="486">
        <v>7125</v>
      </c>
      <c r="N121" s="538"/>
      <c r="O121" s="486">
        <f>+I121-(SUM(J121:N121))</f>
        <v>128250</v>
      </c>
    </row>
    <row r="122" spans="1:15" s="440" customFormat="1" x14ac:dyDescent="0.2">
      <c r="A122" s="388" t="s">
        <v>308</v>
      </c>
      <c r="B122" s="389"/>
      <c r="C122" s="390"/>
      <c r="D122" s="390"/>
      <c r="E122" s="391"/>
      <c r="F122" s="391"/>
      <c r="G122" s="391"/>
      <c r="H122" s="392"/>
      <c r="I122" s="393">
        <f>SUM(I123:I126)</f>
        <v>120000</v>
      </c>
      <c r="J122" s="393">
        <f t="shared" ref="J122:O122" si="11">SUM(J123:J126)</f>
        <v>0</v>
      </c>
      <c r="K122" s="393">
        <f t="shared" si="11"/>
        <v>0</v>
      </c>
      <c r="L122" s="393">
        <f t="shared" si="11"/>
        <v>0</v>
      </c>
      <c r="M122" s="393">
        <f t="shared" si="11"/>
        <v>0</v>
      </c>
      <c r="N122" s="537"/>
      <c r="O122" s="393">
        <f t="shared" si="11"/>
        <v>120000</v>
      </c>
    </row>
    <row r="123" spans="1:15" s="440" customFormat="1" ht="168.75" x14ac:dyDescent="0.2">
      <c r="A123" s="438"/>
      <c r="B123" s="437" t="s">
        <v>3131</v>
      </c>
      <c r="C123" s="439" t="s">
        <v>3132</v>
      </c>
      <c r="D123" s="439" t="s">
        <v>3133</v>
      </c>
      <c r="E123" s="435" t="s">
        <v>3134</v>
      </c>
      <c r="F123" s="435" t="s">
        <v>308</v>
      </c>
      <c r="G123" s="435" t="s">
        <v>1144</v>
      </c>
      <c r="H123" s="436" t="s">
        <v>3370</v>
      </c>
      <c r="I123" s="486">
        <v>45600</v>
      </c>
      <c r="J123" s="486">
        <v>0</v>
      </c>
      <c r="K123" s="486">
        <v>0</v>
      </c>
      <c r="L123" s="486">
        <v>0</v>
      </c>
      <c r="M123" s="486">
        <v>0</v>
      </c>
      <c r="N123" s="538" t="s">
        <v>1893</v>
      </c>
      <c r="O123" s="486">
        <f>+I123-(SUM(J123:N123))</f>
        <v>45600</v>
      </c>
    </row>
    <row r="124" spans="1:15" s="440" customFormat="1" ht="168.75" x14ac:dyDescent="0.2">
      <c r="A124" s="438"/>
      <c r="B124" s="437" t="s">
        <v>3131</v>
      </c>
      <c r="C124" s="439" t="s">
        <v>3135</v>
      </c>
      <c r="D124" s="439" t="s">
        <v>3136</v>
      </c>
      <c r="E124" s="435" t="s">
        <v>3134</v>
      </c>
      <c r="F124" s="435" t="s">
        <v>308</v>
      </c>
      <c r="G124" s="435" t="s">
        <v>1144</v>
      </c>
      <c r="H124" s="436" t="s">
        <v>3371</v>
      </c>
      <c r="I124" s="486">
        <v>45600</v>
      </c>
      <c r="J124" s="486">
        <v>0</v>
      </c>
      <c r="K124" s="486">
        <v>0</v>
      </c>
      <c r="L124" s="486">
        <v>0</v>
      </c>
      <c r="M124" s="486">
        <v>0</v>
      </c>
      <c r="N124" s="538" t="s">
        <v>1893</v>
      </c>
      <c r="O124" s="486">
        <f>+I124-(SUM(J124:N124))</f>
        <v>45600</v>
      </c>
    </row>
    <row r="125" spans="1:15" s="440" customFormat="1" ht="187.5" x14ac:dyDescent="0.2">
      <c r="A125" s="438"/>
      <c r="B125" s="437">
        <v>244257</v>
      </c>
      <c r="C125" s="490" t="s">
        <v>1109</v>
      </c>
      <c r="D125" s="439" t="s">
        <v>3235</v>
      </c>
      <c r="E125" s="435" t="s">
        <v>3134</v>
      </c>
      <c r="F125" s="435" t="s">
        <v>308</v>
      </c>
      <c r="G125" s="435" t="s">
        <v>1144</v>
      </c>
      <c r="H125" s="436" t="s">
        <v>3372</v>
      </c>
      <c r="I125" s="486">
        <f>11400+3000</f>
        <v>14400</v>
      </c>
      <c r="J125" s="486">
        <v>0</v>
      </c>
      <c r="K125" s="486">
        <v>0</v>
      </c>
      <c r="L125" s="486">
        <v>0</v>
      </c>
      <c r="M125" s="486">
        <v>0</v>
      </c>
      <c r="N125" s="538" t="s">
        <v>2182</v>
      </c>
      <c r="O125" s="486">
        <f>+I125-(SUM(J125:N125))</f>
        <v>14400</v>
      </c>
    </row>
    <row r="126" spans="1:15" s="440" customFormat="1" ht="187.5" x14ac:dyDescent="0.2">
      <c r="A126" s="438"/>
      <c r="B126" s="437">
        <v>244257</v>
      </c>
      <c r="C126" s="490" t="s">
        <v>1109</v>
      </c>
      <c r="D126" s="439" t="s">
        <v>3235</v>
      </c>
      <c r="E126" s="435" t="s">
        <v>3134</v>
      </c>
      <c r="F126" s="435" t="s">
        <v>308</v>
      </c>
      <c r="G126" s="435" t="s">
        <v>1144</v>
      </c>
      <c r="H126" s="436" t="s">
        <v>3373</v>
      </c>
      <c r="I126" s="486">
        <f>11400+3000</f>
        <v>14400</v>
      </c>
      <c r="J126" s="486">
        <v>0</v>
      </c>
      <c r="K126" s="486">
        <v>0</v>
      </c>
      <c r="L126" s="486">
        <v>0</v>
      </c>
      <c r="M126" s="486">
        <v>0</v>
      </c>
      <c r="N126" s="538" t="s">
        <v>2182</v>
      </c>
      <c r="O126" s="486">
        <f>+I126-(SUM(J126:N126))</f>
        <v>14400</v>
      </c>
    </row>
    <row r="127" spans="1:15" s="440" customFormat="1" x14ac:dyDescent="0.2">
      <c r="A127" s="388" t="s">
        <v>19</v>
      </c>
      <c r="B127" s="389"/>
      <c r="C127" s="390"/>
      <c r="D127" s="390"/>
      <c r="E127" s="391"/>
      <c r="F127" s="391"/>
      <c r="G127" s="391"/>
      <c r="H127" s="392"/>
      <c r="I127" s="393">
        <f>SUM(I128:I143)</f>
        <v>2617697</v>
      </c>
      <c r="J127" s="393">
        <f t="shared" ref="J127:O127" si="12">SUM(J128:J143)</f>
        <v>87709.650000000009</v>
      </c>
      <c r="K127" s="393">
        <f t="shared" si="12"/>
        <v>87709.650000000009</v>
      </c>
      <c r="L127" s="393">
        <f t="shared" si="12"/>
        <v>173050</v>
      </c>
      <c r="M127" s="393">
        <f t="shared" si="12"/>
        <v>173050</v>
      </c>
      <c r="N127" s="537"/>
      <c r="O127" s="393">
        <f t="shared" si="12"/>
        <v>2096177.7000000002</v>
      </c>
    </row>
    <row r="128" spans="1:15" s="440" customFormat="1" ht="93.75" x14ac:dyDescent="0.2">
      <c r="A128" s="438"/>
      <c r="B128" s="437" t="s">
        <v>2909</v>
      </c>
      <c r="C128" s="439" t="s">
        <v>2910</v>
      </c>
      <c r="D128" s="439" t="s">
        <v>2911</v>
      </c>
      <c r="E128" s="435" t="s">
        <v>2602</v>
      </c>
      <c r="F128" s="435" t="s">
        <v>19</v>
      </c>
      <c r="G128" s="435" t="s">
        <v>2603</v>
      </c>
      <c r="H128" s="436" t="s">
        <v>3374</v>
      </c>
      <c r="I128" s="486">
        <v>100000</v>
      </c>
      <c r="J128" s="486">
        <v>5000</v>
      </c>
      <c r="K128" s="486">
        <v>5000</v>
      </c>
      <c r="L128" s="486">
        <v>0</v>
      </c>
      <c r="M128" s="486">
        <v>0</v>
      </c>
      <c r="N128" s="530"/>
      <c r="O128" s="486">
        <f t="shared" ref="O128:O143" si="13">+I128-(SUM(J128:N128))</f>
        <v>90000</v>
      </c>
    </row>
    <row r="129" spans="1:15" s="440" customFormat="1" ht="168.75" x14ac:dyDescent="0.2">
      <c r="A129" s="438"/>
      <c r="B129" s="437" t="s">
        <v>2984</v>
      </c>
      <c r="C129" s="439" t="s">
        <v>2990</v>
      </c>
      <c r="D129" s="439" t="s">
        <v>2991</v>
      </c>
      <c r="E129" s="435" t="s">
        <v>2881</v>
      </c>
      <c r="F129" s="435" t="s">
        <v>19</v>
      </c>
      <c r="G129" s="435" t="s">
        <v>1763</v>
      </c>
      <c r="H129" s="436" t="s">
        <v>3375</v>
      </c>
      <c r="I129" s="486">
        <v>272600</v>
      </c>
      <c r="J129" s="486">
        <v>0</v>
      </c>
      <c r="K129" s="486">
        <v>0</v>
      </c>
      <c r="L129" s="486">
        <v>0</v>
      </c>
      <c r="M129" s="486">
        <v>0</v>
      </c>
      <c r="N129" s="538" t="s">
        <v>1786</v>
      </c>
      <c r="O129" s="486">
        <f t="shared" si="13"/>
        <v>272600</v>
      </c>
    </row>
    <row r="130" spans="1:15" s="440" customFormat="1" ht="187.5" x14ac:dyDescent="0.2">
      <c r="A130" s="438"/>
      <c r="B130" s="437" t="s">
        <v>2981</v>
      </c>
      <c r="C130" s="439" t="s">
        <v>2994</v>
      </c>
      <c r="D130" s="439" t="s">
        <v>2995</v>
      </c>
      <c r="E130" s="435" t="s">
        <v>2631</v>
      </c>
      <c r="F130" s="435" t="s">
        <v>19</v>
      </c>
      <c r="G130" s="435" t="s">
        <v>1198</v>
      </c>
      <c r="H130" s="436" t="s">
        <v>3376</v>
      </c>
      <c r="I130" s="486">
        <v>285000</v>
      </c>
      <c r="J130" s="486">
        <v>0</v>
      </c>
      <c r="K130" s="486">
        <v>0</v>
      </c>
      <c r="L130" s="486">
        <v>13050</v>
      </c>
      <c r="M130" s="486">
        <v>13050</v>
      </c>
      <c r="N130" s="530"/>
      <c r="O130" s="486">
        <f t="shared" si="13"/>
        <v>258900</v>
      </c>
    </row>
    <row r="131" spans="1:15" s="440" customFormat="1" ht="131.25" x14ac:dyDescent="0.2">
      <c r="A131" s="438"/>
      <c r="B131" s="437" t="s">
        <v>3043</v>
      </c>
      <c r="C131" s="439" t="s">
        <v>3044</v>
      </c>
      <c r="D131" s="439" t="s">
        <v>3045</v>
      </c>
      <c r="E131" s="435" t="s">
        <v>3046</v>
      </c>
      <c r="F131" s="435" t="s">
        <v>19</v>
      </c>
      <c r="G131" s="435" t="s">
        <v>3047</v>
      </c>
      <c r="H131" s="436" t="s">
        <v>3377</v>
      </c>
      <c r="I131" s="486">
        <v>80000</v>
      </c>
      <c r="J131" s="486">
        <v>0</v>
      </c>
      <c r="K131" s="486">
        <v>0</v>
      </c>
      <c r="L131" s="486">
        <v>0</v>
      </c>
      <c r="M131" s="486">
        <v>0</v>
      </c>
      <c r="N131" s="538" t="s">
        <v>3048</v>
      </c>
      <c r="O131" s="486">
        <f t="shared" si="13"/>
        <v>80000</v>
      </c>
    </row>
    <row r="132" spans="1:15" s="440" customFormat="1" ht="150" x14ac:dyDescent="0.2">
      <c r="A132" s="438"/>
      <c r="B132" s="437" t="s">
        <v>3043</v>
      </c>
      <c r="C132" s="439" t="s">
        <v>3049</v>
      </c>
      <c r="D132" s="439" t="s">
        <v>3050</v>
      </c>
      <c r="E132" s="435" t="s">
        <v>3051</v>
      </c>
      <c r="F132" s="435" t="s">
        <v>19</v>
      </c>
      <c r="G132" s="435" t="s">
        <v>3047</v>
      </c>
      <c r="H132" s="436" t="s">
        <v>3378</v>
      </c>
      <c r="I132" s="486">
        <v>90000</v>
      </c>
      <c r="J132" s="486">
        <v>0</v>
      </c>
      <c r="K132" s="486">
        <v>0</v>
      </c>
      <c r="L132" s="486">
        <v>0</v>
      </c>
      <c r="M132" s="486">
        <v>0</v>
      </c>
      <c r="N132" s="538" t="s">
        <v>3048</v>
      </c>
      <c r="O132" s="486">
        <f t="shared" si="13"/>
        <v>90000</v>
      </c>
    </row>
    <row r="133" spans="1:15" s="440" customFormat="1" ht="187.5" x14ac:dyDescent="0.2">
      <c r="A133" s="438"/>
      <c r="B133" s="437" t="s">
        <v>3159</v>
      </c>
      <c r="C133" s="439" t="s">
        <v>3170</v>
      </c>
      <c r="D133" s="439" t="s">
        <v>3171</v>
      </c>
      <c r="E133" s="435" t="s">
        <v>2631</v>
      </c>
      <c r="F133" s="435" t="s">
        <v>19</v>
      </c>
      <c r="G133" s="435" t="s">
        <v>1198</v>
      </c>
      <c r="H133" s="436" t="s">
        <v>3379</v>
      </c>
      <c r="I133" s="486">
        <v>95000</v>
      </c>
      <c r="J133" s="486">
        <v>0</v>
      </c>
      <c r="K133" s="486">
        <v>0</v>
      </c>
      <c r="L133" s="486">
        <v>0</v>
      </c>
      <c r="M133" s="486">
        <v>0</v>
      </c>
      <c r="N133" s="538" t="s">
        <v>2987</v>
      </c>
      <c r="O133" s="486">
        <f t="shared" si="13"/>
        <v>95000</v>
      </c>
    </row>
    <row r="134" spans="1:15" s="440" customFormat="1" ht="243.75" x14ac:dyDescent="0.2">
      <c r="A134" s="438"/>
      <c r="B134" s="437" t="s">
        <v>3179</v>
      </c>
      <c r="C134" s="439" t="s">
        <v>3180</v>
      </c>
      <c r="D134" s="439" t="s">
        <v>3181</v>
      </c>
      <c r="E134" s="435" t="s">
        <v>3182</v>
      </c>
      <c r="F134" s="435" t="s">
        <v>19</v>
      </c>
      <c r="G134" s="435" t="s">
        <v>3380</v>
      </c>
      <c r="H134" s="436" t="s">
        <v>3381</v>
      </c>
      <c r="I134" s="486">
        <v>195937</v>
      </c>
      <c r="J134" s="486">
        <v>9796.85</v>
      </c>
      <c r="K134" s="486">
        <v>9796.85</v>
      </c>
      <c r="L134" s="486">
        <v>0</v>
      </c>
      <c r="M134" s="486">
        <v>0</v>
      </c>
      <c r="N134" s="538"/>
      <c r="O134" s="486">
        <f t="shared" si="13"/>
        <v>176343.3</v>
      </c>
    </row>
    <row r="135" spans="1:15" s="440" customFormat="1" ht="168.75" x14ac:dyDescent="0.2">
      <c r="A135" s="438"/>
      <c r="B135" s="437" t="s">
        <v>3183</v>
      </c>
      <c r="C135" s="439" t="s">
        <v>3184</v>
      </c>
      <c r="D135" s="439" t="s">
        <v>3185</v>
      </c>
      <c r="E135" s="435" t="s">
        <v>3182</v>
      </c>
      <c r="F135" s="435" t="s">
        <v>19</v>
      </c>
      <c r="G135" s="435" t="s">
        <v>3380</v>
      </c>
      <c r="H135" s="436" t="s">
        <v>3382</v>
      </c>
      <c r="I135" s="486">
        <v>755160</v>
      </c>
      <c r="J135" s="486">
        <v>60412.800000000003</v>
      </c>
      <c r="K135" s="486">
        <v>60412.800000000003</v>
      </c>
      <c r="L135" s="486">
        <v>0</v>
      </c>
      <c r="M135" s="486">
        <v>0</v>
      </c>
      <c r="N135" s="538"/>
      <c r="O135" s="486">
        <f t="shared" si="13"/>
        <v>634334.4</v>
      </c>
    </row>
    <row r="136" spans="1:15" s="440" customFormat="1" ht="168.75" x14ac:dyDescent="0.2">
      <c r="A136" s="438"/>
      <c r="B136" s="437" t="s">
        <v>3183</v>
      </c>
      <c r="C136" s="439" t="s">
        <v>3186</v>
      </c>
      <c r="D136" s="439" t="s">
        <v>3187</v>
      </c>
      <c r="E136" s="435" t="s">
        <v>3188</v>
      </c>
      <c r="F136" s="435" t="s">
        <v>19</v>
      </c>
      <c r="G136" s="435" t="s">
        <v>3383</v>
      </c>
      <c r="H136" s="436" t="s">
        <v>3384</v>
      </c>
      <c r="I136" s="486">
        <v>50000</v>
      </c>
      <c r="J136" s="486">
        <v>2500</v>
      </c>
      <c r="K136" s="486">
        <v>2500</v>
      </c>
      <c r="L136" s="486">
        <v>0</v>
      </c>
      <c r="M136" s="486"/>
      <c r="N136" s="538"/>
      <c r="O136" s="486">
        <f t="shared" si="13"/>
        <v>45000</v>
      </c>
    </row>
    <row r="137" spans="1:15" s="440" customFormat="1" ht="131.25" x14ac:dyDescent="0.2">
      <c r="A137" s="438"/>
      <c r="B137" s="437" t="s">
        <v>3215</v>
      </c>
      <c r="C137" s="439" t="s">
        <v>3385</v>
      </c>
      <c r="D137" s="439" t="s">
        <v>3386</v>
      </c>
      <c r="E137" s="435" t="s">
        <v>3046</v>
      </c>
      <c r="F137" s="435" t="s">
        <v>19</v>
      </c>
      <c r="G137" s="435" t="s">
        <v>3047</v>
      </c>
      <c r="H137" s="436" t="s">
        <v>3387</v>
      </c>
      <c r="I137" s="486">
        <v>20000</v>
      </c>
      <c r="J137" s="486">
        <v>0</v>
      </c>
      <c r="K137" s="486">
        <v>0</v>
      </c>
      <c r="L137" s="486">
        <v>0</v>
      </c>
      <c r="M137" s="486">
        <v>0</v>
      </c>
      <c r="N137" s="538" t="s">
        <v>3048</v>
      </c>
      <c r="O137" s="486">
        <f t="shared" si="13"/>
        <v>20000</v>
      </c>
    </row>
    <row r="138" spans="1:15" s="440" customFormat="1" ht="150" x14ac:dyDescent="0.2">
      <c r="A138" s="438"/>
      <c r="B138" s="437" t="s">
        <v>3215</v>
      </c>
      <c r="C138" s="439" t="s">
        <v>3388</v>
      </c>
      <c r="D138" s="439" t="s">
        <v>3389</v>
      </c>
      <c r="E138" s="435" t="s">
        <v>3051</v>
      </c>
      <c r="F138" s="435" t="s">
        <v>19</v>
      </c>
      <c r="G138" s="435" t="s">
        <v>3047</v>
      </c>
      <c r="H138" s="436" t="s">
        <v>3390</v>
      </c>
      <c r="I138" s="486">
        <v>10000</v>
      </c>
      <c r="J138" s="486">
        <v>0</v>
      </c>
      <c r="K138" s="486">
        <v>0</v>
      </c>
      <c r="L138" s="486">
        <v>0</v>
      </c>
      <c r="M138" s="486">
        <v>0</v>
      </c>
      <c r="N138" s="538" t="s">
        <v>3048</v>
      </c>
      <c r="O138" s="486">
        <f t="shared" si="13"/>
        <v>10000</v>
      </c>
    </row>
    <row r="139" spans="1:15" s="440" customFormat="1" ht="168.75" x14ac:dyDescent="0.2">
      <c r="A139" s="438"/>
      <c r="B139" s="437" t="s">
        <v>3347</v>
      </c>
      <c r="C139" s="439" t="s">
        <v>3391</v>
      </c>
      <c r="D139" s="439" t="s">
        <v>3392</v>
      </c>
      <c r="E139" s="435" t="s">
        <v>3188</v>
      </c>
      <c r="F139" s="435" t="s">
        <v>19</v>
      </c>
      <c r="G139" s="435" t="s">
        <v>3383</v>
      </c>
      <c r="H139" s="436" t="s">
        <v>3393</v>
      </c>
      <c r="I139" s="486">
        <v>150000</v>
      </c>
      <c r="J139" s="486">
        <v>7500</v>
      </c>
      <c r="K139" s="486">
        <v>7500</v>
      </c>
      <c r="L139" s="486">
        <v>0</v>
      </c>
      <c r="M139" s="486">
        <v>0</v>
      </c>
      <c r="N139" s="538"/>
      <c r="O139" s="486">
        <f t="shared" si="13"/>
        <v>135000</v>
      </c>
    </row>
    <row r="140" spans="1:15" s="440" customFormat="1" ht="131.25" x14ac:dyDescent="0.2">
      <c r="A140" s="438"/>
      <c r="B140" s="437" t="s">
        <v>3219</v>
      </c>
      <c r="C140" s="439" t="s">
        <v>3394</v>
      </c>
      <c r="D140" s="439" t="s">
        <v>3395</v>
      </c>
      <c r="E140" s="435" t="s">
        <v>2138</v>
      </c>
      <c r="F140" s="435" t="s">
        <v>19</v>
      </c>
      <c r="G140" s="435" t="s">
        <v>1763</v>
      </c>
      <c r="H140" s="436" t="s">
        <v>3396</v>
      </c>
      <c r="I140" s="486">
        <v>320000</v>
      </c>
      <c r="J140" s="486">
        <v>0</v>
      </c>
      <c r="K140" s="486">
        <v>0</v>
      </c>
      <c r="L140" s="486">
        <v>160000</v>
      </c>
      <c r="M140" s="486">
        <v>160000</v>
      </c>
      <c r="N140" s="538"/>
      <c r="O140" s="486">
        <f t="shared" si="13"/>
        <v>0</v>
      </c>
    </row>
    <row r="141" spans="1:15" s="440" customFormat="1" ht="225" x14ac:dyDescent="0.2">
      <c r="A141" s="438"/>
      <c r="B141" s="437" t="s">
        <v>3219</v>
      </c>
      <c r="C141" s="439" t="s">
        <v>3394</v>
      </c>
      <c r="D141" s="439" t="s">
        <v>3395</v>
      </c>
      <c r="E141" s="435" t="s">
        <v>2138</v>
      </c>
      <c r="F141" s="435" t="s">
        <v>19</v>
      </c>
      <c r="G141" s="435" t="s">
        <v>1763</v>
      </c>
      <c r="H141" s="436" t="s">
        <v>3397</v>
      </c>
      <c r="I141" s="486">
        <v>72000</v>
      </c>
      <c r="J141" s="486">
        <v>0</v>
      </c>
      <c r="K141" s="486">
        <v>0</v>
      </c>
      <c r="L141" s="486">
        <v>0</v>
      </c>
      <c r="M141" s="486">
        <v>0</v>
      </c>
      <c r="N141" s="538" t="s">
        <v>2987</v>
      </c>
      <c r="O141" s="486">
        <f t="shared" si="13"/>
        <v>72000</v>
      </c>
    </row>
    <row r="142" spans="1:15" s="440" customFormat="1" ht="187.5" x14ac:dyDescent="0.2">
      <c r="A142" s="438"/>
      <c r="B142" s="437" t="s">
        <v>3219</v>
      </c>
      <c r="C142" s="439" t="s">
        <v>3394</v>
      </c>
      <c r="D142" s="439" t="s">
        <v>3395</v>
      </c>
      <c r="E142" s="435" t="s">
        <v>2198</v>
      </c>
      <c r="F142" s="435" t="s">
        <v>19</v>
      </c>
      <c r="G142" s="435" t="s">
        <v>1763</v>
      </c>
      <c r="H142" s="436" t="s">
        <v>3398</v>
      </c>
      <c r="I142" s="486">
        <v>72000</v>
      </c>
      <c r="J142" s="486">
        <v>0</v>
      </c>
      <c r="K142" s="486">
        <v>0</v>
      </c>
      <c r="L142" s="486">
        <v>0</v>
      </c>
      <c r="M142" s="486">
        <v>0</v>
      </c>
      <c r="N142" s="538" t="s">
        <v>2987</v>
      </c>
      <c r="O142" s="486">
        <f t="shared" si="13"/>
        <v>72000</v>
      </c>
    </row>
    <row r="143" spans="1:15" s="440" customFormat="1" ht="93.75" x14ac:dyDescent="0.2">
      <c r="A143" s="438"/>
      <c r="B143" s="437" t="s">
        <v>3231</v>
      </c>
      <c r="C143" s="439" t="s">
        <v>3399</v>
      </c>
      <c r="D143" s="439" t="s">
        <v>3400</v>
      </c>
      <c r="E143" s="435" t="s">
        <v>2602</v>
      </c>
      <c r="F143" s="435" t="s">
        <v>19</v>
      </c>
      <c r="G143" s="435" t="s">
        <v>2603</v>
      </c>
      <c r="H143" s="436" t="s">
        <v>3401</v>
      </c>
      <c r="I143" s="486">
        <v>50000</v>
      </c>
      <c r="J143" s="486">
        <v>2500</v>
      </c>
      <c r="K143" s="486">
        <v>2500</v>
      </c>
      <c r="L143" s="486">
        <v>0</v>
      </c>
      <c r="M143" s="486">
        <v>0</v>
      </c>
      <c r="N143" s="538"/>
      <c r="O143" s="486">
        <f t="shared" si="13"/>
        <v>45000</v>
      </c>
    </row>
    <row r="144" spans="1:15" s="440" customFormat="1" x14ac:dyDescent="0.2">
      <c r="A144" s="388" t="s">
        <v>117</v>
      </c>
      <c r="B144" s="389"/>
      <c r="C144" s="390"/>
      <c r="D144" s="390"/>
      <c r="E144" s="391"/>
      <c r="F144" s="391"/>
      <c r="G144" s="391"/>
      <c r="H144" s="392"/>
      <c r="I144" s="393">
        <f>SUM(I145:I158)</f>
        <v>4271195</v>
      </c>
      <c r="J144" s="393">
        <f t="shared" ref="J144:O144" si="14">SUM(J145:J158)</f>
        <v>200200</v>
      </c>
      <c r="K144" s="393">
        <f t="shared" si="14"/>
        <v>200200</v>
      </c>
      <c r="L144" s="393">
        <f t="shared" si="14"/>
        <v>33847.5</v>
      </c>
      <c r="M144" s="393">
        <f t="shared" si="14"/>
        <v>33847.5</v>
      </c>
      <c r="N144" s="537"/>
      <c r="O144" s="393">
        <f t="shared" si="14"/>
        <v>3803100</v>
      </c>
    </row>
    <row r="145" spans="1:15" s="440" customFormat="1" ht="93.75" x14ac:dyDescent="0.2">
      <c r="A145" s="438"/>
      <c r="B145" s="437" t="s">
        <v>2947</v>
      </c>
      <c r="C145" s="439" t="s">
        <v>2948</v>
      </c>
      <c r="D145" s="439" t="s">
        <v>2949</v>
      </c>
      <c r="E145" s="435" t="s">
        <v>115</v>
      </c>
      <c r="F145" s="435" t="s">
        <v>117</v>
      </c>
      <c r="G145" s="435" t="s">
        <v>2458</v>
      </c>
      <c r="H145" s="436" t="s">
        <v>1766</v>
      </c>
      <c r="I145" s="486">
        <v>240000</v>
      </c>
      <c r="J145" s="486">
        <v>12000</v>
      </c>
      <c r="K145" s="486">
        <v>12000</v>
      </c>
      <c r="L145" s="486">
        <v>0</v>
      </c>
      <c r="M145" s="486">
        <v>0</v>
      </c>
      <c r="N145" s="530"/>
      <c r="O145" s="486">
        <f t="shared" ref="O145:O158" si="15">+I145-(SUM(J145:N145))</f>
        <v>216000</v>
      </c>
    </row>
    <row r="146" spans="1:15" s="440" customFormat="1" ht="93.75" x14ac:dyDescent="0.2">
      <c r="A146" s="438"/>
      <c r="B146" s="437" t="s">
        <v>2950</v>
      </c>
      <c r="C146" s="439" t="s">
        <v>2951</v>
      </c>
      <c r="D146" s="439" t="s">
        <v>2952</v>
      </c>
      <c r="E146" s="435" t="s">
        <v>115</v>
      </c>
      <c r="F146" s="435" t="s">
        <v>117</v>
      </c>
      <c r="G146" s="435" t="s">
        <v>2953</v>
      </c>
      <c r="H146" s="436" t="s">
        <v>1766</v>
      </c>
      <c r="I146" s="486">
        <v>687000</v>
      </c>
      <c r="J146" s="486">
        <v>34350</v>
      </c>
      <c r="K146" s="486">
        <v>34350</v>
      </c>
      <c r="L146" s="486">
        <v>0</v>
      </c>
      <c r="M146" s="486">
        <v>0</v>
      </c>
      <c r="N146" s="530"/>
      <c r="O146" s="486">
        <f t="shared" si="15"/>
        <v>618300</v>
      </c>
    </row>
    <row r="147" spans="1:15" s="440" customFormat="1" ht="112.5" x14ac:dyDescent="0.2">
      <c r="A147" s="438"/>
      <c r="B147" s="437" t="s">
        <v>2954</v>
      </c>
      <c r="C147" s="439" t="s">
        <v>2955</v>
      </c>
      <c r="D147" s="439" t="s">
        <v>2956</v>
      </c>
      <c r="E147" s="435" t="s">
        <v>302</v>
      </c>
      <c r="F147" s="435" t="s">
        <v>117</v>
      </c>
      <c r="G147" s="435" t="s">
        <v>444</v>
      </c>
      <c r="H147" s="436" t="s">
        <v>2957</v>
      </c>
      <c r="I147" s="486">
        <v>90000</v>
      </c>
      <c r="J147" s="486">
        <v>4500</v>
      </c>
      <c r="K147" s="486">
        <v>4500</v>
      </c>
      <c r="L147" s="486">
        <v>0</v>
      </c>
      <c r="M147" s="486">
        <v>0</v>
      </c>
      <c r="N147" s="530"/>
      <c r="O147" s="486">
        <f t="shared" si="15"/>
        <v>81000</v>
      </c>
    </row>
    <row r="148" spans="1:15" s="440" customFormat="1" ht="93.75" x14ac:dyDescent="0.2">
      <c r="A148" s="438"/>
      <c r="B148" s="437" t="s">
        <v>2954</v>
      </c>
      <c r="C148" s="439" t="s">
        <v>2951</v>
      </c>
      <c r="D148" s="439" t="s">
        <v>2958</v>
      </c>
      <c r="E148" s="435" t="s">
        <v>115</v>
      </c>
      <c r="F148" s="435" t="s">
        <v>117</v>
      </c>
      <c r="G148" s="435" t="s">
        <v>2959</v>
      </c>
      <c r="H148" s="436" t="s">
        <v>1766</v>
      </c>
      <c r="I148" s="486">
        <v>166000</v>
      </c>
      <c r="J148" s="486">
        <v>8300</v>
      </c>
      <c r="K148" s="486">
        <v>8300</v>
      </c>
      <c r="L148" s="486">
        <v>0</v>
      </c>
      <c r="M148" s="486">
        <v>0</v>
      </c>
      <c r="N148" s="530"/>
      <c r="O148" s="486">
        <f t="shared" si="15"/>
        <v>149400</v>
      </c>
    </row>
    <row r="149" spans="1:15" s="440" customFormat="1" ht="93.75" x14ac:dyDescent="0.2">
      <c r="A149" s="438"/>
      <c r="B149" s="437" t="s">
        <v>2973</v>
      </c>
      <c r="C149" s="439" t="s">
        <v>2974</v>
      </c>
      <c r="D149" s="439" t="s">
        <v>2975</v>
      </c>
      <c r="E149" s="435" t="s">
        <v>115</v>
      </c>
      <c r="F149" s="435" t="s">
        <v>117</v>
      </c>
      <c r="G149" s="435" t="s">
        <v>326</v>
      </c>
      <c r="H149" s="436" t="s">
        <v>1766</v>
      </c>
      <c r="I149" s="486">
        <v>111000</v>
      </c>
      <c r="J149" s="486">
        <v>5550</v>
      </c>
      <c r="K149" s="486">
        <v>5550</v>
      </c>
      <c r="L149" s="486">
        <v>0</v>
      </c>
      <c r="M149" s="486">
        <v>0</v>
      </c>
      <c r="N149" s="530"/>
      <c r="O149" s="486">
        <f t="shared" si="15"/>
        <v>99900</v>
      </c>
    </row>
    <row r="150" spans="1:15" s="440" customFormat="1" ht="112.5" x14ac:dyDescent="0.2">
      <c r="A150" s="438"/>
      <c r="B150" s="437" t="s">
        <v>3004</v>
      </c>
      <c r="C150" s="439" t="s">
        <v>3014</v>
      </c>
      <c r="D150" s="439" t="s">
        <v>3015</v>
      </c>
      <c r="E150" s="435" t="s">
        <v>2680</v>
      </c>
      <c r="F150" s="435" t="s">
        <v>117</v>
      </c>
      <c r="G150" s="435" t="s">
        <v>1144</v>
      </c>
      <c r="H150" s="436" t="s">
        <v>3402</v>
      </c>
      <c r="I150" s="486">
        <v>152000</v>
      </c>
      <c r="J150" s="486">
        <v>0</v>
      </c>
      <c r="K150" s="486">
        <v>0</v>
      </c>
      <c r="L150" s="486">
        <v>7600</v>
      </c>
      <c r="M150" s="486">
        <v>7600</v>
      </c>
      <c r="N150" s="530"/>
      <c r="O150" s="486">
        <f t="shared" si="15"/>
        <v>136800</v>
      </c>
    </row>
    <row r="151" spans="1:15" s="440" customFormat="1" ht="150" x14ac:dyDescent="0.2">
      <c r="A151" s="438"/>
      <c r="B151" s="437" t="s">
        <v>3004</v>
      </c>
      <c r="C151" s="439" t="s">
        <v>3005</v>
      </c>
      <c r="D151" s="439" t="s">
        <v>3006</v>
      </c>
      <c r="E151" s="435" t="s">
        <v>2205</v>
      </c>
      <c r="F151" s="435" t="s">
        <v>117</v>
      </c>
      <c r="G151" s="435" t="s">
        <v>1763</v>
      </c>
      <c r="H151" s="436" t="s">
        <v>3403</v>
      </c>
      <c r="I151" s="486">
        <f>10500+23347.5+23347.5</f>
        <v>57195</v>
      </c>
      <c r="J151" s="486">
        <v>0</v>
      </c>
      <c r="K151" s="486">
        <v>0</v>
      </c>
      <c r="L151" s="486">
        <v>23347.5</v>
      </c>
      <c r="M151" s="486">
        <v>23347.5</v>
      </c>
      <c r="N151" s="530"/>
      <c r="O151" s="486">
        <f t="shared" si="15"/>
        <v>10500</v>
      </c>
    </row>
    <row r="152" spans="1:15" s="440" customFormat="1" ht="93.75" x14ac:dyDescent="0.2">
      <c r="A152" s="438"/>
      <c r="B152" s="437" t="s">
        <v>3016</v>
      </c>
      <c r="C152" s="439" t="s">
        <v>3017</v>
      </c>
      <c r="D152" s="439" t="s">
        <v>3018</v>
      </c>
      <c r="E152" s="435" t="s">
        <v>115</v>
      </c>
      <c r="F152" s="435" t="s">
        <v>117</v>
      </c>
      <c r="G152" s="435" t="s">
        <v>303</v>
      </c>
      <c r="H152" s="436" t="s">
        <v>1766</v>
      </c>
      <c r="I152" s="486">
        <f>18000+20000</f>
        <v>38000</v>
      </c>
      <c r="J152" s="486">
        <f>1000+900</f>
        <v>1900</v>
      </c>
      <c r="K152" s="486">
        <f>1000+900</f>
        <v>1900</v>
      </c>
      <c r="L152" s="486"/>
      <c r="M152" s="486"/>
      <c r="N152" s="530"/>
      <c r="O152" s="486">
        <f t="shared" si="15"/>
        <v>34200</v>
      </c>
    </row>
    <row r="153" spans="1:15" s="440" customFormat="1" ht="112.5" x14ac:dyDescent="0.2">
      <c r="A153" s="438"/>
      <c r="B153" s="437" t="s">
        <v>3159</v>
      </c>
      <c r="C153" s="439" t="s">
        <v>3172</v>
      </c>
      <c r="D153" s="439" t="s">
        <v>3173</v>
      </c>
      <c r="E153" s="435" t="s">
        <v>2680</v>
      </c>
      <c r="F153" s="435" t="s">
        <v>117</v>
      </c>
      <c r="G153" s="435" t="s">
        <v>1144</v>
      </c>
      <c r="H153" s="436" t="s">
        <v>3404</v>
      </c>
      <c r="I153" s="486">
        <v>38000</v>
      </c>
      <c r="J153" s="486">
        <v>0</v>
      </c>
      <c r="K153" s="486">
        <v>0</v>
      </c>
      <c r="L153" s="486">
        <v>1900</v>
      </c>
      <c r="M153" s="486">
        <v>1900</v>
      </c>
      <c r="N153" s="538"/>
      <c r="O153" s="486">
        <f t="shared" si="15"/>
        <v>34200</v>
      </c>
    </row>
    <row r="154" spans="1:15" s="440" customFormat="1" ht="112.5" x14ac:dyDescent="0.2">
      <c r="A154" s="438"/>
      <c r="B154" s="437" t="s">
        <v>3189</v>
      </c>
      <c r="C154" s="439" t="s">
        <v>3190</v>
      </c>
      <c r="D154" s="439" t="s">
        <v>3191</v>
      </c>
      <c r="E154" s="435" t="s">
        <v>2680</v>
      </c>
      <c r="F154" s="435" t="s">
        <v>117</v>
      </c>
      <c r="G154" s="435" t="s">
        <v>1144</v>
      </c>
      <c r="H154" s="436" t="s">
        <v>3405</v>
      </c>
      <c r="I154" s="486">
        <v>20000</v>
      </c>
      <c r="J154" s="486">
        <v>0</v>
      </c>
      <c r="K154" s="486">
        <v>0</v>
      </c>
      <c r="L154" s="486">
        <v>1000</v>
      </c>
      <c r="M154" s="486">
        <v>1000</v>
      </c>
      <c r="N154" s="538"/>
      <c r="O154" s="486">
        <f t="shared" si="15"/>
        <v>18000</v>
      </c>
    </row>
    <row r="155" spans="1:15" s="440" customFormat="1" ht="93.75" x14ac:dyDescent="0.2">
      <c r="A155" s="438"/>
      <c r="B155" s="437" t="s">
        <v>3219</v>
      </c>
      <c r="C155" s="439" t="s">
        <v>3406</v>
      </c>
      <c r="D155" s="439" t="s">
        <v>3407</v>
      </c>
      <c r="E155" s="435" t="s">
        <v>115</v>
      </c>
      <c r="F155" s="435" t="s">
        <v>117</v>
      </c>
      <c r="G155" s="435" t="s">
        <v>566</v>
      </c>
      <c r="H155" s="436" t="s">
        <v>1766</v>
      </c>
      <c r="I155" s="486">
        <f>25000+612000</f>
        <v>637000</v>
      </c>
      <c r="J155" s="486">
        <f>1250+30600</f>
        <v>31850</v>
      </c>
      <c r="K155" s="486">
        <f>1250+30600</f>
        <v>31850</v>
      </c>
      <c r="L155" s="486">
        <v>0</v>
      </c>
      <c r="M155" s="486">
        <v>0</v>
      </c>
      <c r="N155" s="538"/>
      <c r="O155" s="486">
        <f t="shared" si="15"/>
        <v>573300</v>
      </c>
    </row>
    <row r="156" spans="1:15" s="440" customFormat="1" ht="93.75" x14ac:dyDescent="0.2">
      <c r="A156" s="438"/>
      <c r="B156" s="437" t="s">
        <v>3231</v>
      </c>
      <c r="C156" s="439" t="s">
        <v>3408</v>
      </c>
      <c r="D156" s="439" t="s">
        <v>3409</v>
      </c>
      <c r="E156" s="435" t="s">
        <v>115</v>
      </c>
      <c r="F156" s="435" t="s">
        <v>117</v>
      </c>
      <c r="G156" s="435" t="s">
        <v>303</v>
      </c>
      <c r="H156" s="436" t="s">
        <v>1766</v>
      </c>
      <c r="I156" s="486">
        <v>40000</v>
      </c>
      <c r="J156" s="486">
        <v>2000</v>
      </c>
      <c r="K156" s="486">
        <v>2000</v>
      </c>
      <c r="L156" s="486">
        <v>0</v>
      </c>
      <c r="M156" s="486">
        <v>0</v>
      </c>
      <c r="N156" s="538"/>
      <c r="O156" s="486">
        <f t="shared" si="15"/>
        <v>36000</v>
      </c>
    </row>
    <row r="157" spans="1:15" s="440" customFormat="1" ht="93.75" x14ac:dyDescent="0.2">
      <c r="A157" s="438"/>
      <c r="B157" s="437">
        <v>244257</v>
      </c>
      <c r="C157" s="490" t="s">
        <v>1109</v>
      </c>
      <c r="D157" s="439" t="s">
        <v>3235</v>
      </c>
      <c r="E157" s="435" t="s">
        <v>115</v>
      </c>
      <c r="F157" s="435" t="s">
        <v>117</v>
      </c>
      <c r="G157" s="435" t="s">
        <v>3410</v>
      </c>
      <c r="H157" s="436" t="s">
        <v>1766</v>
      </c>
      <c r="I157" s="486">
        <v>1970000</v>
      </c>
      <c r="J157" s="486">
        <v>98500</v>
      </c>
      <c r="K157" s="486">
        <v>98500</v>
      </c>
      <c r="L157" s="486">
        <v>0</v>
      </c>
      <c r="M157" s="486">
        <v>0</v>
      </c>
      <c r="N157" s="538"/>
      <c r="O157" s="486">
        <f t="shared" si="15"/>
        <v>1773000</v>
      </c>
    </row>
    <row r="158" spans="1:15" s="440" customFormat="1" ht="93.75" x14ac:dyDescent="0.2">
      <c r="A158" s="438"/>
      <c r="B158" s="437">
        <v>244257</v>
      </c>
      <c r="C158" s="490" t="s">
        <v>1109</v>
      </c>
      <c r="D158" s="439" t="s">
        <v>3235</v>
      </c>
      <c r="E158" s="435" t="s">
        <v>302</v>
      </c>
      <c r="F158" s="435" t="s">
        <v>117</v>
      </c>
      <c r="G158" s="435" t="s">
        <v>2894</v>
      </c>
      <c r="H158" s="436" t="s">
        <v>3411</v>
      </c>
      <c r="I158" s="486">
        <v>25000</v>
      </c>
      <c r="J158" s="486">
        <v>1250</v>
      </c>
      <c r="K158" s="486">
        <v>1250</v>
      </c>
      <c r="L158" s="486">
        <v>0</v>
      </c>
      <c r="M158" s="486">
        <v>0</v>
      </c>
      <c r="N158" s="538"/>
      <c r="O158" s="486">
        <f t="shared" si="15"/>
        <v>22500</v>
      </c>
    </row>
    <row r="159" spans="1:15" s="440" customFormat="1" x14ac:dyDescent="0.2">
      <c r="A159" s="388" t="s">
        <v>3470</v>
      </c>
      <c r="B159" s="389"/>
      <c r="C159" s="390"/>
      <c r="D159" s="390"/>
      <c r="E159" s="391"/>
      <c r="F159" s="391"/>
      <c r="G159" s="391"/>
      <c r="H159" s="392"/>
      <c r="I159" s="393">
        <f>SUM(I160:I164)</f>
        <v>2315300</v>
      </c>
      <c r="J159" s="393">
        <f t="shared" ref="J159:O159" si="16">SUM(J160:J164)</f>
        <v>15000</v>
      </c>
      <c r="K159" s="393">
        <f t="shared" si="16"/>
        <v>15000</v>
      </c>
      <c r="L159" s="393">
        <f t="shared" si="16"/>
        <v>0</v>
      </c>
      <c r="M159" s="393">
        <f t="shared" si="16"/>
        <v>102000</v>
      </c>
      <c r="N159" s="537">
        <f t="shared" si="16"/>
        <v>0</v>
      </c>
      <c r="O159" s="393">
        <f t="shared" si="16"/>
        <v>2183300</v>
      </c>
    </row>
    <row r="160" spans="1:15" s="440" customFormat="1" ht="168.75" x14ac:dyDescent="0.2">
      <c r="A160" s="438"/>
      <c r="B160" s="437" t="s">
        <v>3089</v>
      </c>
      <c r="C160" s="439" t="s">
        <v>3090</v>
      </c>
      <c r="D160" s="439" t="s">
        <v>3091</v>
      </c>
      <c r="E160" s="435" t="s">
        <v>2896</v>
      </c>
      <c r="F160" s="435" t="s">
        <v>2818</v>
      </c>
      <c r="G160" s="435" t="s">
        <v>1763</v>
      </c>
      <c r="H160" s="436" t="s">
        <v>3412</v>
      </c>
      <c r="I160" s="486">
        <v>1182550</v>
      </c>
      <c r="J160" s="486">
        <v>0</v>
      </c>
      <c r="K160" s="486">
        <v>0</v>
      </c>
      <c r="L160" s="486">
        <v>0</v>
      </c>
      <c r="M160" s="486">
        <v>0</v>
      </c>
      <c r="N160" s="538" t="s">
        <v>1786</v>
      </c>
      <c r="O160" s="486">
        <f>+I160-(SUM(J160:N160))</f>
        <v>1182550</v>
      </c>
    </row>
    <row r="161" spans="1:15" s="440" customFormat="1" ht="168.75" x14ac:dyDescent="0.2">
      <c r="A161" s="438"/>
      <c r="B161" s="437" t="s">
        <v>3092</v>
      </c>
      <c r="C161" s="439" t="s">
        <v>3093</v>
      </c>
      <c r="D161" s="439" t="s">
        <v>3094</v>
      </c>
      <c r="E161" s="435" t="s">
        <v>2896</v>
      </c>
      <c r="F161" s="435" t="s">
        <v>2818</v>
      </c>
      <c r="G161" s="435" t="s">
        <v>1763</v>
      </c>
      <c r="H161" s="436" t="s">
        <v>3413</v>
      </c>
      <c r="I161" s="486">
        <v>604500</v>
      </c>
      <c r="J161" s="486">
        <v>0</v>
      </c>
      <c r="K161" s="486">
        <v>0</v>
      </c>
      <c r="L161" s="486">
        <v>0</v>
      </c>
      <c r="M161" s="486">
        <v>0</v>
      </c>
      <c r="N161" s="538" t="s">
        <v>1786</v>
      </c>
      <c r="O161" s="486">
        <f>+I161-(SUM(J161:N161))</f>
        <v>604500</v>
      </c>
    </row>
    <row r="162" spans="1:15" s="440" customFormat="1" ht="168.75" x14ac:dyDescent="0.2">
      <c r="A162" s="438"/>
      <c r="B162" s="437" t="s">
        <v>3219</v>
      </c>
      <c r="C162" s="439" t="s">
        <v>3224</v>
      </c>
      <c r="D162" s="439" t="s">
        <v>3225</v>
      </c>
      <c r="E162" s="435" t="s">
        <v>2896</v>
      </c>
      <c r="F162" s="435" t="s">
        <v>2818</v>
      </c>
      <c r="G162" s="435" t="s">
        <v>1763</v>
      </c>
      <c r="H162" s="436" t="s">
        <v>3414</v>
      </c>
      <c r="I162" s="486">
        <v>228250</v>
      </c>
      <c r="J162" s="486">
        <v>0</v>
      </c>
      <c r="K162" s="486">
        <v>0</v>
      </c>
      <c r="L162" s="486">
        <v>0</v>
      </c>
      <c r="M162" s="486">
        <v>102000</v>
      </c>
      <c r="N162" s="538"/>
      <c r="O162" s="486">
        <f>+I162-(SUM(J162:N162))</f>
        <v>126250</v>
      </c>
    </row>
    <row r="163" spans="1:15" s="440" customFormat="1" ht="168.75" x14ac:dyDescent="0.2">
      <c r="A163" s="438"/>
      <c r="B163" s="437" t="s">
        <v>3231</v>
      </c>
      <c r="C163" s="439" t="s">
        <v>3415</v>
      </c>
      <c r="D163" s="439" t="s">
        <v>3416</v>
      </c>
      <c r="E163" s="435" t="s">
        <v>3417</v>
      </c>
      <c r="F163" s="435" t="s">
        <v>2818</v>
      </c>
      <c r="G163" s="435" t="s">
        <v>3418</v>
      </c>
      <c r="H163" s="436" t="s">
        <v>3419</v>
      </c>
      <c r="I163" s="486">
        <v>150000</v>
      </c>
      <c r="J163" s="486">
        <v>7500</v>
      </c>
      <c r="K163" s="486">
        <v>7500</v>
      </c>
      <c r="L163" s="486">
        <v>0</v>
      </c>
      <c r="M163" s="486">
        <v>0</v>
      </c>
      <c r="N163" s="538"/>
      <c r="O163" s="486">
        <f>+I163-(SUM(J163:N163))</f>
        <v>135000</v>
      </c>
    </row>
    <row r="164" spans="1:15" s="440" customFormat="1" ht="168.75" x14ac:dyDescent="0.2">
      <c r="A164" s="438"/>
      <c r="B164" s="437">
        <v>244257</v>
      </c>
      <c r="C164" s="490" t="s">
        <v>1109</v>
      </c>
      <c r="D164" s="396" t="s">
        <v>3235</v>
      </c>
      <c r="E164" s="435" t="s">
        <v>3417</v>
      </c>
      <c r="F164" s="435" t="s">
        <v>2818</v>
      </c>
      <c r="G164" s="435" t="s">
        <v>1752</v>
      </c>
      <c r="H164" s="436" t="s">
        <v>3420</v>
      </c>
      <c r="I164" s="486">
        <v>150000</v>
      </c>
      <c r="J164" s="486">
        <v>7500</v>
      </c>
      <c r="K164" s="486">
        <v>7500</v>
      </c>
      <c r="L164" s="486">
        <v>0</v>
      </c>
      <c r="M164" s="486">
        <v>0</v>
      </c>
      <c r="N164" s="538"/>
      <c r="O164" s="486">
        <f>+I164-(SUM(J164:N164))</f>
        <v>135000</v>
      </c>
    </row>
    <row r="165" spans="1:15" s="440" customFormat="1" x14ac:dyDescent="0.2">
      <c r="A165" s="388" t="s">
        <v>706</v>
      </c>
      <c r="B165" s="389"/>
      <c r="C165" s="491"/>
      <c r="D165" s="390"/>
      <c r="E165" s="391"/>
      <c r="F165" s="391"/>
      <c r="G165" s="391"/>
      <c r="H165" s="392"/>
      <c r="I165" s="393">
        <f>SUM(I166:I187)</f>
        <v>10558732</v>
      </c>
      <c r="J165" s="393">
        <f t="shared" ref="J165:O165" si="17">SUM(J166:J187)</f>
        <v>0</v>
      </c>
      <c r="K165" s="393">
        <f t="shared" si="17"/>
        <v>0</v>
      </c>
      <c r="L165" s="393">
        <f t="shared" si="17"/>
        <v>213601</v>
      </c>
      <c r="M165" s="393">
        <f t="shared" si="17"/>
        <v>273101</v>
      </c>
      <c r="N165" s="537">
        <f t="shared" si="17"/>
        <v>0</v>
      </c>
      <c r="O165" s="393">
        <f t="shared" si="17"/>
        <v>10072030</v>
      </c>
    </row>
    <row r="166" spans="1:15" s="440" customFormat="1" ht="187.5" x14ac:dyDescent="0.2">
      <c r="A166" s="438"/>
      <c r="B166" s="437" t="s">
        <v>2976</v>
      </c>
      <c r="C166" s="439" t="s">
        <v>2977</v>
      </c>
      <c r="D166" s="439" t="s">
        <v>2978</v>
      </c>
      <c r="E166" s="435" t="s">
        <v>1733</v>
      </c>
      <c r="F166" s="435" t="s">
        <v>706</v>
      </c>
      <c r="G166" s="435" t="s">
        <v>1763</v>
      </c>
      <c r="H166" s="436" t="s">
        <v>3421</v>
      </c>
      <c r="I166" s="486">
        <v>1402000</v>
      </c>
      <c r="J166" s="486">
        <v>0</v>
      </c>
      <c r="K166" s="486">
        <v>0</v>
      </c>
      <c r="L166" s="486">
        <v>0</v>
      </c>
      <c r="M166" s="486">
        <v>0</v>
      </c>
      <c r="N166" s="538" t="s">
        <v>1786</v>
      </c>
      <c r="O166" s="486">
        <f t="shared" ref="O166:O187" si="18">+I166-(SUM(J166:N166))</f>
        <v>1402000</v>
      </c>
    </row>
    <row r="167" spans="1:15" s="440" customFormat="1" ht="112.5" x14ac:dyDescent="0.2">
      <c r="A167" s="438"/>
      <c r="B167" s="437" t="s">
        <v>3004</v>
      </c>
      <c r="C167" s="439" t="s">
        <v>3005</v>
      </c>
      <c r="D167" s="439" t="s">
        <v>3006</v>
      </c>
      <c r="E167" s="435" t="s">
        <v>1733</v>
      </c>
      <c r="F167" s="435" t="s">
        <v>706</v>
      </c>
      <c r="G167" s="435" t="s">
        <v>2154</v>
      </c>
      <c r="H167" s="436" t="s">
        <v>3422</v>
      </c>
      <c r="I167" s="486">
        <f>18000+20454.5+20454.5</f>
        <v>58909</v>
      </c>
      <c r="J167" s="486">
        <v>0</v>
      </c>
      <c r="K167" s="486">
        <v>0</v>
      </c>
      <c r="L167" s="486">
        <v>20454.5</v>
      </c>
      <c r="M167" s="486">
        <v>20454.5</v>
      </c>
      <c r="N167" s="530"/>
      <c r="O167" s="486">
        <f t="shared" si="18"/>
        <v>18000</v>
      </c>
    </row>
    <row r="168" spans="1:15" s="440" customFormat="1" ht="187.5" x14ac:dyDescent="0.2">
      <c r="A168" s="438"/>
      <c r="B168" s="437" t="s">
        <v>3004</v>
      </c>
      <c r="C168" s="439" t="s">
        <v>3005</v>
      </c>
      <c r="D168" s="439" t="s">
        <v>3006</v>
      </c>
      <c r="E168" s="435" t="s">
        <v>1733</v>
      </c>
      <c r="F168" s="435" t="s">
        <v>706</v>
      </c>
      <c r="G168" s="435" t="s">
        <v>2154</v>
      </c>
      <c r="H168" s="436" t="s">
        <v>3423</v>
      </c>
      <c r="I168" s="486">
        <f>9000+58461.5+58461.5</f>
        <v>125923</v>
      </c>
      <c r="J168" s="486">
        <v>0</v>
      </c>
      <c r="K168" s="486">
        <v>0</v>
      </c>
      <c r="L168" s="486">
        <v>58461.5</v>
      </c>
      <c r="M168" s="486">
        <v>58461.5</v>
      </c>
      <c r="N168" s="530"/>
      <c r="O168" s="486">
        <f t="shared" si="18"/>
        <v>9000</v>
      </c>
    </row>
    <row r="169" spans="1:15" s="440" customFormat="1" ht="187.5" x14ac:dyDescent="0.2">
      <c r="A169" s="438"/>
      <c r="B169" s="437" t="s">
        <v>2999</v>
      </c>
      <c r="C169" s="439" t="s">
        <v>3019</v>
      </c>
      <c r="D169" s="439" t="s">
        <v>3020</v>
      </c>
      <c r="E169" s="435" t="s">
        <v>1733</v>
      </c>
      <c r="F169" s="435" t="s">
        <v>706</v>
      </c>
      <c r="G169" s="435" t="s">
        <v>1763</v>
      </c>
      <c r="H169" s="436" t="s">
        <v>3424</v>
      </c>
      <c r="I169" s="486">
        <v>715000</v>
      </c>
      <c r="J169" s="486">
        <v>0</v>
      </c>
      <c r="K169" s="486">
        <v>0</v>
      </c>
      <c r="L169" s="486">
        <v>0</v>
      </c>
      <c r="M169" s="486">
        <v>0</v>
      </c>
      <c r="N169" s="538" t="s">
        <v>1786</v>
      </c>
      <c r="O169" s="486">
        <f t="shared" si="18"/>
        <v>715000</v>
      </c>
    </row>
    <row r="170" spans="1:15" s="440" customFormat="1" ht="131.25" x14ac:dyDescent="0.2">
      <c r="A170" s="438"/>
      <c r="B170" s="437" t="s">
        <v>2996</v>
      </c>
      <c r="C170" s="439" t="s">
        <v>3021</v>
      </c>
      <c r="D170" s="439" t="s">
        <v>3022</v>
      </c>
      <c r="E170" s="435" t="s">
        <v>2109</v>
      </c>
      <c r="F170" s="435" t="s">
        <v>706</v>
      </c>
      <c r="G170" s="435" t="s">
        <v>1763</v>
      </c>
      <c r="H170" s="436" t="s">
        <v>3425</v>
      </c>
      <c r="I170" s="486">
        <v>537700</v>
      </c>
      <c r="J170" s="486">
        <v>0</v>
      </c>
      <c r="K170" s="486">
        <v>0</v>
      </c>
      <c r="L170" s="486">
        <v>0</v>
      </c>
      <c r="M170" s="486">
        <v>0</v>
      </c>
      <c r="N170" s="538" t="s">
        <v>1786</v>
      </c>
      <c r="O170" s="486">
        <f t="shared" si="18"/>
        <v>537700</v>
      </c>
    </row>
    <row r="171" spans="1:15" s="440" customFormat="1" ht="131.25" x14ac:dyDescent="0.2">
      <c r="A171" s="438"/>
      <c r="B171" s="437" t="s">
        <v>3069</v>
      </c>
      <c r="C171" s="439" t="s">
        <v>3075</v>
      </c>
      <c r="D171" s="439" t="s">
        <v>3076</v>
      </c>
      <c r="E171" s="435" t="s">
        <v>2109</v>
      </c>
      <c r="F171" s="435" t="s">
        <v>706</v>
      </c>
      <c r="G171" s="435" t="s">
        <v>1763</v>
      </c>
      <c r="H171" s="436" t="s">
        <v>3426</v>
      </c>
      <c r="I171" s="486">
        <v>54000</v>
      </c>
      <c r="J171" s="486">
        <v>0</v>
      </c>
      <c r="K171" s="486">
        <v>0</v>
      </c>
      <c r="L171" s="486">
        <v>0</v>
      </c>
      <c r="M171" s="486">
        <v>0</v>
      </c>
      <c r="N171" s="538" t="s">
        <v>1786</v>
      </c>
      <c r="O171" s="486">
        <f t="shared" si="18"/>
        <v>54000</v>
      </c>
    </row>
    <row r="172" spans="1:15" s="440" customFormat="1" ht="112.5" x14ac:dyDescent="0.2">
      <c r="A172" s="438"/>
      <c r="B172" s="437" t="s">
        <v>3072</v>
      </c>
      <c r="C172" s="439" t="s">
        <v>3077</v>
      </c>
      <c r="D172" s="439" t="s">
        <v>3078</v>
      </c>
      <c r="E172" s="435" t="s">
        <v>1733</v>
      </c>
      <c r="F172" s="435" t="s">
        <v>706</v>
      </c>
      <c r="G172" s="435" t="s">
        <v>1144</v>
      </c>
      <c r="H172" s="436" t="s">
        <v>3427</v>
      </c>
      <c r="I172" s="486">
        <v>145350</v>
      </c>
      <c r="J172" s="486">
        <v>0</v>
      </c>
      <c r="K172" s="486">
        <v>0</v>
      </c>
      <c r="L172" s="486">
        <v>7267.5</v>
      </c>
      <c r="M172" s="486">
        <v>7267.5</v>
      </c>
      <c r="N172" s="538"/>
      <c r="O172" s="486">
        <f t="shared" si="18"/>
        <v>130815</v>
      </c>
    </row>
    <row r="173" spans="1:15" s="440" customFormat="1" ht="131.25" x14ac:dyDescent="0.2">
      <c r="A173" s="438"/>
      <c r="B173" s="437" t="s">
        <v>3072</v>
      </c>
      <c r="C173" s="439" t="s">
        <v>3079</v>
      </c>
      <c r="D173" s="439" t="s">
        <v>3080</v>
      </c>
      <c r="E173" s="435" t="s">
        <v>2109</v>
      </c>
      <c r="F173" s="435" t="s">
        <v>706</v>
      </c>
      <c r="G173" s="435" t="s">
        <v>3081</v>
      </c>
      <c r="H173" s="436" t="s">
        <v>3428</v>
      </c>
      <c r="I173" s="486">
        <v>412250</v>
      </c>
      <c r="J173" s="486">
        <v>0</v>
      </c>
      <c r="K173" s="486">
        <v>0</v>
      </c>
      <c r="L173" s="486">
        <v>20612.5</v>
      </c>
      <c r="M173" s="486">
        <v>20612.5</v>
      </c>
      <c r="N173" s="538"/>
      <c r="O173" s="486">
        <f t="shared" si="18"/>
        <v>371025</v>
      </c>
    </row>
    <row r="174" spans="1:15" s="440" customFormat="1" ht="131.25" x14ac:dyDescent="0.2">
      <c r="A174" s="438"/>
      <c r="B174" s="437" t="s">
        <v>3072</v>
      </c>
      <c r="C174" s="439" t="s">
        <v>3082</v>
      </c>
      <c r="D174" s="439" t="s">
        <v>3083</v>
      </c>
      <c r="E174" s="435" t="s">
        <v>3084</v>
      </c>
      <c r="F174" s="435" t="s">
        <v>706</v>
      </c>
      <c r="G174" s="435" t="s">
        <v>1144</v>
      </c>
      <c r="H174" s="436" t="s">
        <v>3429</v>
      </c>
      <c r="I174" s="486">
        <v>199500</v>
      </c>
      <c r="J174" s="486">
        <v>0</v>
      </c>
      <c r="K174" s="486">
        <v>0</v>
      </c>
      <c r="L174" s="486">
        <v>9975</v>
      </c>
      <c r="M174" s="486">
        <v>9975</v>
      </c>
      <c r="N174" s="538"/>
      <c r="O174" s="486">
        <f t="shared" si="18"/>
        <v>179550</v>
      </c>
    </row>
    <row r="175" spans="1:15" s="440" customFormat="1" ht="150" x14ac:dyDescent="0.2">
      <c r="A175" s="438"/>
      <c r="B175" s="437" t="s">
        <v>3095</v>
      </c>
      <c r="C175" s="439" t="s">
        <v>3119</v>
      </c>
      <c r="D175" s="439" t="s">
        <v>3120</v>
      </c>
      <c r="E175" s="435" t="s">
        <v>3084</v>
      </c>
      <c r="F175" s="435" t="s">
        <v>706</v>
      </c>
      <c r="G175" s="435" t="s">
        <v>1198</v>
      </c>
      <c r="H175" s="436" t="s">
        <v>3430</v>
      </c>
      <c r="I175" s="486">
        <v>356250</v>
      </c>
      <c r="J175" s="486">
        <v>0</v>
      </c>
      <c r="K175" s="486">
        <v>0</v>
      </c>
      <c r="L175" s="486">
        <v>17812.5</v>
      </c>
      <c r="M175" s="486">
        <v>17812.5</v>
      </c>
      <c r="N175" s="538"/>
      <c r="O175" s="486">
        <f t="shared" si="18"/>
        <v>320625</v>
      </c>
    </row>
    <row r="176" spans="1:15" s="440" customFormat="1" ht="150" x14ac:dyDescent="0.2">
      <c r="A176" s="438"/>
      <c r="B176" s="437" t="s">
        <v>3089</v>
      </c>
      <c r="C176" s="439" t="s">
        <v>3090</v>
      </c>
      <c r="D176" s="439" t="s">
        <v>3091</v>
      </c>
      <c r="E176" s="435" t="s">
        <v>1733</v>
      </c>
      <c r="F176" s="435" t="s">
        <v>706</v>
      </c>
      <c r="G176" s="435" t="s">
        <v>1763</v>
      </c>
      <c r="H176" s="436" t="s">
        <v>3431</v>
      </c>
      <c r="I176" s="486">
        <v>1298400</v>
      </c>
      <c r="J176" s="486">
        <v>0</v>
      </c>
      <c r="K176" s="486">
        <v>0</v>
      </c>
      <c r="L176" s="486">
        <v>0</v>
      </c>
      <c r="M176" s="486">
        <v>0</v>
      </c>
      <c r="N176" s="538" t="s">
        <v>1786</v>
      </c>
      <c r="O176" s="486">
        <f t="shared" si="18"/>
        <v>1298400</v>
      </c>
    </row>
    <row r="177" spans="1:16" s="440" customFormat="1" ht="131.25" x14ac:dyDescent="0.2">
      <c r="A177" s="438"/>
      <c r="B177" s="437" t="s">
        <v>3092</v>
      </c>
      <c r="C177" s="439" t="s">
        <v>3093</v>
      </c>
      <c r="D177" s="439" t="s">
        <v>3094</v>
      </c>
      <c r="E177" s="435" t="s">
        <v>1733</v>
      </c>
      <c r="F177" s="435" t="s">
        <v>706</v>
      </c>
      <c r="G177" s="435" t="s">
        <v>1763</v>
      </c>
      <c r="H177" s="436" t="s">
        <v>3432</v>
      </c>
      <c r="I177" s="486">
        <v>284200</v>
      </c>
      <c r="J177" s="486">
        <v>0</v>
      </c>
      <c r="K177" s="486">
        <v>0</v>
      </c>
      <c r="L177" s="486">
        <v>0</v>
      </c>
      <c r="M177" s="486">
        <v>0</v>
      </c>
      <c r="N177" s="538" t="s">
        <v>1786</v>
      </c>
      <c r="O177" s="486">
        <f t="shared" si="18"/>
        <v>284200</v>
      </c>
    </row>
    <row r="178" spans="1:16" s="440" customFormat="1" ht="187.5" x14ac:dyDescent="0.2">
      <c r="A178" s="438"/>
      <c r="B178" s="437" t="s">
        <v>3124</v>
      </c>
      <c r="C178" s="439" t="s">
        <v>3137</v>
      </c>
      <c r="D178" s="439" t="s">
        <v>3138</v>
      </c>
      <c r="E178" s="435" t="s">
        <v>1733</v>
      </c>
      <c r="F178" s="435" t="s">
        <v>706</v>
      </c>
      <c r="G178" s="435" t="s">
        <v>1763</v>
      </c>
      <c r="H178" s="436" t="s">
        <v>3433</v>
      </c>
      <c r="I178" s="486">
        <v>2215400</v>
      </c>
      <c r="J178" s="486">
        <v>0</v>
      </c>
      <c r="K178" s="486">
        <v>0</v>
      </c>
      <c r="L178" s="486">
        <v>0</v>
      </c>
      <c r="M178" s="486">
        <v>0</v>
      </c>
      <c r="N178" s="538" t="s">
        <v>1786</v>
      </c>
      <c r="O178" s="486">
        <f t="shared" si="18"/>
        <v>2215400</v>
      </c>
    </row>
    <row r="179" spans="1:16" s="440" customFormat="1" ht="187.5" x14ac:dyDescent="0.2">
      <c r="A179" s="438"/>
      <c r="B179" s="437" t="s">
        <v>3124</v>
      </c>
      <c r="C179" s="439" t="s">
        <v>3139</v>
      </c>
      <c r="D179" s="439" t="s">
        <v>3140</v>
      </c>
      <c r="E179" s="435" t="s">
        <v>1733</v>
      </c>
      <c r="F179" s="435" t="s">
        <v>706</v>
      </c>
      <c r="G179" s="435" t="s">
        <v>1763</v>
      </c>
      <c r="H179" s="436" t="s">
        <v>3434</v>
      </c>
      <c r="I179" s="486">
        <v>132000</v>
      </c>
      <c r="J179" s="486">
        <v>0</v>
      </c>
      <c r="K179" s="486">
        <v>0</v>
      </c>
      <c r="L179" s="486">
        <v>0</v>
      </c>
      <c r="M179" s="486">
        <v>0</v>
      </c>
      <c r="N179" s="538" t="s">
        <v>1786</v>
      </c>
      <c r="O179" s="486">
        <f t="shared" si="18"/>
        <v>132000</v>
      </c>
    </row>
    <row r="180" spans="1:16" s="440" customFormat="1" ht="131.25" x14ac:dyDescent="0.2">
      <c r="A180" s="438"/>
      <c r="B180" s="437" t="s">
        <v>3148</v>
      </c>
      <c r="C180" s="439" t="s">
        <v>3174</v>
      </c>
      <c r="D180" s="439" t="s">
        <v>3175</v>
      </c>
      <c r="E180" s="435" t="s">
        <v>1733</v>
      </c>
      <c r="F180" s="435" t="s">
        <v>706</v>
      </c>
      <c r="G180" s="435" t="s">
        <v>1763</v>
      </c>
      <c r="H180" s="436" t="s">
        <v>3435</v>
      </c>
      <c r="I180" s="486">
        <v>982200</v>
      </c>
      <c r="J180" s="486">
        <v>0</v>
      </c>
      <c r="K180" s="486">
        <v>0</v>
      </c>
      <c r="L180" s="486">
        <v>0</v>
      </c>
      <c r="M180" s="486">
        <v>0</v>
      </c>
      <c r="N180" s="538" t="s">
        <v>1786</v>
      </c>
      <c r="O180" s="486">
        <f t="shared" si="18"/>
        <v>982200</v>
      </c>
    </row>
    <row r="181" spans="1:16" s="440" customFormat="1" ht="131.25" x14ac:dyDescent="0.2">
      <c r="A181" s="438"/>
      <c r="B181" s="437" t="s">
        <v>3179</v>
      </c>
      <c r="C181" s="439" t="s">
        <v>3192</v>
      </c>
      <c r="D181" s="439" t="s">
        <v>3193</v>
      </c>
      <c r="E181" s="435" t="s">
        <v>2109</v>
      </c>
      <c r="F181" s="435" t="s">
        <v>706</v>
      </c>
      <c r="G181" s="435" t="s">
        <v>3081</v>
      </c>
      <c r="H181" s="436" t="s">
        <v>3436</v>
      </c>
      <c r="I181" s="486">
        <v>368250</v>
      </c>
      <c r="J181" s="486">
        <v>0</v>
      </c>
      <c r="K181" s="486">
        <v>0</v>
      </c>
      <c r="L181" s="486">
        <v>18412.5</v>
      </c>
      <c r="M181" s="486">
        <v>18412.5</v>
      </c>
      <c r="N181" s="538"/>
      <c r="O181" s="486">
        <f t="shared" si="18"/>
        <v>331425</v>
      </c>
    </row>
    <row r="182" spans="1:16" s="440" customFormat="1" ht="131.25" x14ac:dyDescent="0.2">
      <c r="A182" s="438"/>
      <c r="B182" s="437" t="s">
        <v>3211</v>
      </c>
      <c r="C182" s="439" t="s">
        <v>3437</v>
      </c>
      <c r="D182" s="439" t="s">
        <v>3438</v>
      </c>
      <c r="E182" s="435" t="s">
        <v>2109</v>
      </c>
      <c r="F182" s="435" t="s">
        <v>706</v>
      </c>
      <c r="G182" s="435" t="s">
        <v>1763</v>
      </c>
      <c r="H182" s="436" t="s">
        <v>3439</v>
      </c>
      <c r="I182" s="486">
        <v>72000</v>
      </c>
      <c r="J182" s="486">
        <v>0</v>
      </c>
      <c r="K182" s="486">
        <v>0</v>
      </c>
      <c r="L182" s="486">
        <v>0</v>
      </c>
      <c r="M182" s="486">
        <v>0</v>
      </c>
      <c r="N182" s="538" t="s">
        <v>1786</v>
      </c>
      <c r="O182" s="486">
        <f t="shared" si="18"/>
        <v>72000</v>
      </c>
    </row>
    <row r="183" spans="1:16" s="440" customFormat="1" ht="131.25" x14ac:dyDescent="0.2">
      <c r="A183" s="438"/>
      <c r="B183" s="437" t="s">
        <v>3211</v>
      </c>
      <c r="C183" s="439" t="s">
        <v>3440</v>
      </c>
      <c r="D183" s="439" t="s">
        <v>3441</v>
      </c>
      <c r="E183" s="435" t="s">
        <v>2109</v>
      </c>
      <c r="F183" s="435" t="s">
        <v>706</v>
      </c>
      <c r="G183" s="435" t="s">
        <v>1763</v>
      </c>
      <c r="H183" s="436" t="s">
        <v>3442</v>
      </c>
      <c r="I183" s="486">
        <v>474000</v>
      </c>
      <c r="J183" s="486">
        <v>0</v>
      </c>
      <c r="K183" s="486">
        <v>0</v>
      </c>
      <c r="L183" s="486">
        <v>0</v>
      </c>
      <c r="M183" s="486">
        <v>0</v>
      </c>
      <c r="N183" s="538" t="s">
        <v>1786</v>
      </c>
      <c r="O183" s="486">
        <f t="shared" si="18"/>
        <v>474000</v>
      </c>
    </row>
    <row r="184" spans="1:16" s="440" customFormat="1" ht="150" x14ac:dyDescent="0.2">
      <c r="A184" s="438"/>
      <c r="B184" s="437" t="s">
        <v>3211</v>
      </c>
      <c r="C184" s="439" t="s">
        <v>3443</v>
      </c>
      <c r="D184" s="439" t="s">
        <v>3444</v>
      </c>
      <c r="E184" s="435" t="s">
        <v>3084</v>
      </c>
      <c r="F184" s="435" t="s">
        <v>706</v>
      </c>
      <c r="G184" s="435" t="s">
        <v>1198</v>
      </c>
      <c r="H184" s="436" t="s">
        <v>3445</v>
      </c>
      <c r="I184" s="486">
        <v>356250</v>
      </c>
      <c r="J184" s="486">
        <v>0</v>
      </c>
      <c r="K184" s="486">
        <v>0</v>
      </c>
      <c r="L184" s="486">
        <v>2187.5</v>
      </c>
      <c r="M184" s="486">
        <v>2187.5</v>
      </c>
      <c r="N184" s="538"/>
      <c r="O184" s="486">
        <f t="shared" si="18"/>
        <v>351875</v>
      </c>
    </row>
    <row r="185" spans="1:16" s="440" customFormat="1" ht="131.25" x14ac:dyDescent="0.2">
      <c r="A185" s="438"/>
      <c r="B185" s="437" t="s">
        <v>3219</v>
      </c>
      <c r="C185" s="439" t="s">
        <v>3224</v>
      </c>
      <c r="D185" s="439" t="s">
        <v>3225</v>
      </c>
      <c r="E185" s="435" t="s">
        <v>1733</v>
      </c>
      <c r="F185" s="435" t="s">
        <v>706</v>
      </c>
      <c r="G185" s="435" t="s">
        <v>1763</v>
      </c>
      <c r="H185" s="436" t="s">
        <v>3446</v>
      </c>
      <c r="I185" s="486">
        <v>109500</v>
      </c>
      <c r="J185" s="486">
        <v>0</v>
      </c>
      <c r="K185" s="486">
        <v>0</v>
      </c>
      <c r="L185" s="486">
        <v>0</v>
      </c>
      <c r="M185" s="486">
        <v>59500</v>
      </c>
      <c r="N185" s="538"/>
      <c r="O185" s="486">
        <f t="shared" si="18"/>
        <v>50000</v>
      </c>
    </row>
    <row r="186" spans="1:16" s="440" customFormat="1" ht="112.5" x14ac:dyDescent="0.2">
      <c r="A186" s="438"/>
      <c r="B186" s="437" t="s">
        <v>3231</v>
      </c>
      <c r="C186" s="439" t="s">
        <v>3447</v>
      </c>
      <c r="D186" s="439" t="s">
        <v>3448</v>
      </c>
      <c r="E186" s="435" t="s">
        <v>1733</v>
      </c>
      <c r="F186" s="435" t="s">
        <v>706</v>
      </c>
      <c r="G186" s="435" t="s">
        <v>1144</v>
      </c>
      <c r="H186" s="436" t="s">
        <v>3449</v>
      </c>
      <c r="I186" s="486">
        <v>145350</v>
      </c>
      <c r="J186" s="486">
        <v>0</v>
      </c>
      <c r="K186" s="486">
        <v>0</v>
      </c>
      <c r="L186" s="486">
        <v>7267.5</v>
      </c>
      <c r="M186" s="486">
        <v>7267.5</v>
      </c>
      <c r="N186" s="538"/>
      <c r="O186" s="486">
        <f t="shared" si="18"/>
        <v>130815</v>
      </c>
    </row>
    <row r="187" spans="1:16" s="440" customFormat="1" ht="150" x14ac:dyDescent="0.2">
      <c r="A187" s="438"/>
      <c r="B187" s="437">
        <v>244257</v>
      </c>
      <c r="C187" s="490" t="s">
        <v>1109</v>
      </c>
      <c r="D187" s="396" t="s">
        <v>3235</v>
      </c>
      <c r="E187" s="435" t="s">
        <v>2109</v>
      </c>
      <c r="F187" s="435" t="s">
        <v>706</v>
      </c>
      <c r="G187" s="435" t="s">
        <v>1763</v>
      </c>
      <c r="H187" s="436" t="s">
        <v>3450</v>
      </c>
      <c r="I187" s="486">
        <v>114300</v>
      </c>
      <c r="J187" s="486">
        <v>0</v>
      </c>
      <c r="K187" s="486">
        <v>0</v>
      </c>
      <c r="L187" s="486">
        <v>51150</v>
      </c>
      <c r="M187" s="486">
        <v>51150</v>
      </c>
      <c r="N187" s="538"/>
      <c r="O187" s="486">
        <f t="shared" si="18"/>
        <v>12000</v>
      </c>
    </row>
    <row r="188" spans="1:16" s="440" customFormat="1" x14ac:dyDescent="0.2">
      <c r="A188" s="441" t="s">
        <v>526</v>
      </c>
      <c r="B188" s="389"/>
      <c r="C188" s="390"/>
      <c r="D188" s="390"/>
      <c r="E188" s="391"/>
      <c r="F188" s="391"/>
      <c r="G188" s="391"/>
      <c r="H188" s="392"/>
      <c r="I188" s="393">
        <f>SUM(I189:I191)</f>
        <v>418500</v>
      </c>
      <c r="J188" s="393">
        <f t="shared" ref="J188:O188" si="19">SUM(J189:J191)</f>
        <v>0</v>
      </c>
      <c r="K188" s="393">
        <f t="shared" si="19"/>
        <v>0</v>
      </c>
      <c r="L188" s="393">
        <f t="shared" si="19"/>
        <v>15675</v>
      </c>
      <c r="M188" s="393">
        <f t="shared" si="19"/>
        <v>60675</v>
      </c>
      <c r="N188" s="537"/>
      <c r="O188" s="393">
        <f t="shared" si="19"/>
        <v>342150</v>
      </c>
    </row>
    <row r="189" spans="1:16" s="440" customFormat="1" ht="112.5" x14ac:dyDescent="0.2">
      <c r="A189" s="438"/>
      <c r="B189" s="437" t="s">
        <v>3035</v>
      </c>
      <c r="C189" s="442" t="s">
        <v>3060</v>
      </c>
      <c r="D189" s="439" t="s">
        <v>3061</v>
      </c>
      <c r="E189" s="443" t="s">
        <v>3062</v>
      </c>
      <c r="F189" s="443" t="s">
        <v>923</v>
      </c>
      <c r="G189" s="443" t="s">
        <v>1144</v>
      </c>
      <c r="H189" s="444" t="s">
        <v>3451</v>
      </c>
      <c r="I189" s="486">
        <v>156750</v>
      </c>
      <c r="J189" s="486">
        <v>0</v>
      </c>
      <c r="K189" s="486">
        <v>0</v>
      </c>
      <c r="L189" s="493">
        <v>7837.5</v>
      </c>
      <c r="M189" s="493">
        <v>7837.5</v>
      </c>
      <c r="N189" s="538"/>
      <c r="O189" s="486">
        <f>+I189-(SUM(J189:N189))</f>
        <v>141075</v>
      </c>
    </row>
    <row r="190" spans="1:16" s="440" customFormat="1" ht="112.5" x14ac:dyDescent="0.2">
      <c r="A190" s="438"/>
      <c r="B190" s="437" t="s">
        <v>3347</v>
      </c>
      <c r="C190" s="442" t="s">
        <v>3452</v>
      </c>
      <c r="D190" s="439" t="s">
        <v>3453</v>
      </c>
      <c r="E190" s="443" t="s">
        <v>3062</v>
      </c>
      <c r="F190" s="443" t="s">
        <v>923</v>
      </c>
      <c r="G190" s="443" t="s">
        <v>1144</v>
      </c>
      <c r="H190" s="444" t="s">
        <v>3454</v>
      </c>
      <c r="I190" s="486">
        <v>156750</v>
      </c>
      <c r="J190" s="486">
        <v>0</v>
      </c>
      <c r="K190" s="486">
        <v>0</v>
      </c>
      <c r="L190" s="493">
        <v>7837.5</v>
      </c>
      <c r="M190" s="493">
        <v>7837.5</v>
      </c>
      <c r="N190" s="538"/>
      <c r="O190" s="486">
        <f>+I190-(SUM(J190:N190))</f>
        <v>141075</v>
      </c>
    </row>
    <row r="191" spans="1:16" s="440" customFormat="1" ht="131.25" x14ac:dyDescent="0.2">
      <c r="A191" s="528"/>
      <c r="B191" s="529" t="s">
        <v>3219</v>
      </c>
      <c r="C191" s="539" t="s">
        <v>3220</v>
      </c>
      <c r="D191" s="442" t="s">
        <v>3221</v>
      </c>
      <c r="E191" s="435" t="s">
        <v>3455</v>
      </c>
      <c r="F191" s="443" t="s">
        <v>923</v>
      </c>
      <c r="G191" s="443" t="s">
        <v>2211</v>
      </c>
      <c r="H191" s="444" t="s">
        <v>3456</v>
      </c>
      <c r="I191" s="493">
        <v>105000</v>
      </c>
      <c r="J191" s="493">
        <v>0</v>
      </c>
      <c r="K191" s="493">
        <v>0</v>
      </c>
      <c r="L191" s="493">
        <v>0</v>
      </c>
      <c r="M191" s="493">
        <v>45000</v>
      </c>
      <c r="N191" s="538"/>
      <c r="O191" s="486">
        <f>+I191-(SUM(J191:N191))</f>
        <v>60000</v>
      </c>
      <c r="P191" s="488"/>
    </row>
    <row r="192" spans="1:16" s="440" customFormat="1" x14ac:dyDescent="0.2">
      <c r="A192" s="388" t="s">
        <v>2554</v>
      </c>
      <c r="B192" s="389"/>
      <c r="C192" s="390"/>
      <c r="D192" s="390"/>
      <c r="E192" s="391"/>
      <c r="F192" s="391"/>
      <c r="G192" s="391"/>
      <c r="H192" s="392"/>
      <c r="I192" s="393">
        <f>SUM(I193:I197)</f>
        <v>7022776</v>
      </c>
      <c r="J192" s="393">
        <f t="shared" ref="J192:O192" si="20">SUM(J193:J197)</f>
        <v>0</v>
      </c>
      <c r="K192" s="393">
        <f t="shared" si="20"/>
        <v>0</v>
      </c>
      <c r="L192" s="393">
        <f t="shared" si="20"/>
        <v>1750000</v>
      </c>
      <c r="M192" s="393">
        <f t="shared" si="20"/>
        <v>551000</v>
      </c>
      <c r="N192" s="537"/>
      <c r="O192" s="393">
        <f t="shared" si="20"/>
        <v>4721776</v>
      </c>
    </row>
    <row r="193" spans="1:16" s="440" customFormat="1" ht="225" x14ac:dyDescent="0.2">
      <c r="A193" s="438"/>
      <c r="B193" s="437" t="s">
        <v>3089</v>
      </c>
      <c r="C193" s="439" t="s">
        <v>3090</v>
      </c>
      <c r="D193" s="439" t="s">
        <v>3091</v>
      </c>
      <c r="E193" s="435" t="s">
        <v>1251</v>
      </c>
      <c r="F193" s="435" t="s">
        <v>3121</v>
      </c>
      <c r="G193" s="435" t="s">
        <v>1763</v>
      </c>
      <c r="H193" s="436" t="s">
        <v>3457</v>
      </c>
      <c r="I193" s="486">
        <v>3151386</v>
      </c>
      <c r="J193" s="486">
        <v>0</v>
      </c>
      <c r="K193" s="486">
        <v>0</v>
      </c>
      <c r="L193" s="486">
        <v>0</v>
      </c>
      <c r="M193" s="486">
        <v>0</v>
      </c>
      <c r="N193" s="538" t="s">
        <v>1786</v>
      </c>
      <c r="O193" s="486">
        <f>+I193-(SUM(J193:N193))</f>
        <v>3151386</v>
      </c>
    </row>
    <row r="194" spans="1:16" s="440" customFormat="1" ht="262.5" x14ac:dyDescent="0.2">
      <c r="A194" s="438"/>
      <c r="B194" s="437" t="s">
        <v>3107</v>
      </c>
      <c r="C194" s="439" t="s">
        <v>3122</v>
      </c>
      <c r="D194" s="439" t="s">
        <v>3123</v>
      </c>
      <c r="E194" s="435" t="s">
        <v>1251</v>
      </c>
      <c r="F194" s="435" t="s">
        <v>3121</v>
      </c>
      <c r="G194" s="435" t="s">
        <v>1763</v>
      </c>
      <c r="H194" s="436" t="s">
        <v>3458</v>
      </c>
      <c r="I194" s="486">
        <v>110000</v>
      </c>
      <c r="J194" s="486">
        <v>0</v>
      </c>
      <c r="K194" s="486">
        <v>0</v>
      </c>
      <c r="L194" s="486">
        <v>0</v>
      </c>
      <c r="M194" s="486">
        <v>0</v>
      </c>
      <c r="N194" s="538" t="s">
        <v>1786</v>
      </c>
      <c r="O194" s="486">
        <f>+I194-(SUM(J194:N194))</f>
        <v>110000</v>
      </c>
    </row>
    <row r="195" spans="1:16" s="440" customFormat="1" ht="225" x14ac:dyDescent="0.2">
      <c r="A195" s="438"/>
      <c r="B195" s="437" t="s">
        <v>3092</v>
      </c>
      <c r="C195" s="439" t="s">
        <v>3093</v>
      </c>
      <c r="D195" s="439" t="s">
        <v>3094</v>
      </c>
      <c r="E195" s="435" t="s">
        <v>1251</v>
      </c>
      <c r="F195" s="435" t="s">
        <v>3121</v>
      </c>
      <c r="G195" s="435" t="s">
        <v>1763</v>
      </c>
      <c r="H195" s="436" t="s">
        <v>3459</v>
      </c>
      <c r="I195" s="486">
        <v>1089730</v>
      </c>
      <c r="J195" s="486">
        <v>0</v>
      </c>
      <c r="K195" s="486">
        <v>0</v>
      </c>
      <c r="L195" s="486">
        <v>0</v>
      </c>
      <c r="M195" s="486">
        <v>0</v>
      </c>
      <c r="N195" s="538" t="s">
        <v>1786</v>
      </c>
      <c r="O195" s="486">
        <f>+I195-(SUM(J195:N195))</f>
        <v>1089730</v>
      </c>
    </row>
    <row r="196" spans="1:16" s="440" customFormat="1" ht="93.75" x14ac:dyDescent="0.2">
      <c r="A196" s="438"/>
      <c r="B196" s="437" t="s">
        <v>3219</v>
      </c>
      <c r="C196" s="439" t="s">
        <v>3220</v>
      </c>
      <c r="D196" s="439" t="s">
        <v>3221</v>
      </c>
      <c r="E196" s="435" t="s">
        <v>1251</v>
      </c>
      <c r="F196" s="435" t="s">
        <v>2659</v>
      </c>
      <c r="G196" s="435" t="s">
        <v>2154</v>
      </c>
      <c r="H196" s="436" t="s">
        <v>3460</v>
      </c>
      <c r="I196" s="486">
        <v>1377460</v>
      </c>
      <c r="J196" s="486">
        <v>0</v>
      </c>
      <c r="K196" s="486">
        <v>0</v>
      </c>
      <c r="L196" s="486">
        <v>900000</v>
      </c>
      <c r="M196" s="486">
        <v>279000</v>
      </c>
      <c r="N196" s="538"/>
      <c r="O196" s="486">
        <f>+I196-(SUM(J196:N196))</f>
        <v>198460</v>
      </c>
    </row>
    <row r="197" spans="1:16" s="440" customFormat="1" ht="225" x14ac:dyDescent="0.2">
      <c r="A197" s="438"/>
      <c r="B197" s="437" t="s">
        <v>3219</v>
      </c>
      <c r="C197" s="439" t="s">
        <v>3224</v>
      </c>
      <c r="D197" s="439" t="s">
        <v>3225</v>
      </c>
      <c r="E197" s="435" t="s">
        <v>1251</v>
      </c>
      <c r="F197" s="435" t="s">
        <v>2659</v>
      </c>
      <c r="G197" s="435" t="s">
        <v>1763</v>
      </c>
      <c r="H197" s="436" t="s">
        <v>3461</v>
      </c>
      <c r="I197" s="486">
        <v>1294200</v>
      </c>
      <c r="J197" s="486">
        <v>0</v>
      </c>
      <c r="K197" s="486">
        <v>0</v>
      </c>
      <c r="L197" s="486">
        <v>850000</v>
      </c>
      <c r="M197" s="486">
        <v>272000</v>
      </c>
      <c r="N197" s="538"/>
      <c r="O197" s="486">
        <f>+I197-(SUM(J197:N197))</f>
        <v>172200</v>
      </c>
    </row>
    <row r="198" spans="1:16" s="440" customFormat="1" x14ac:dyDescent="0.2">
      <c r="A198" s="388" t="s">
        <v>2149</v>
      </c>
      <c r="B198" s="526"/>
      <c r="C198" s="445"/>
      <c r="D198" s="445"/>
      <c r="E198" s="391"/>
      <c r="F198" s="446"/>
      <c r="G198" s="446"/>
      <c r="H198" s="447"/>
      <c r="I198" s="527">
        <f>SUM(I199)</f>
        <v>392400</v>
      </c>
      <c r="J198" s="527">
        <f t="shared" ref="J198:O198" si="21">SUM(J199)</f>
        <v>19620</v>
      </c>
      <c r="K198" s="527">
        <f t="shared" si="21"/>
        <v>19620</v>
      </c>
      <c r="L198" s="527">
        <f t="shared" si="21"/>
        <v>0</v>
      </c>
      <c r="M198" s="527">
        <f t="shared" si="21"/>
        <v>0</v>
      </c>
      <c r="N198" s="537"/>
      <c r="O198" s="527">
        <f t="shared" si="21"/>
        <v>353160</v>
      </c>
      <c r="P198" s="488"/>
    </row>
    <row r="199" spans="1:16" s="440" customFormat="1" ht="206.25" x14ac:dyDescent="0.2">
      <c r="A199" s="438"/>
      <c r="B199" s="437" t="s">
        <v>3023</v>
      </c>
      <c r="C199" s="439" t="s">
        <v>3065</v>
      </c>
      <c r="D199" s="439" t="s">
        <v>3066</v>
      </c>
      <c r="E199" s="435" t="s">
        <v>3067</v>
      </c>
      <c r="F199" s="435" t="s">
        <v>2149</v>
      </c>
      <c r="G199" s="435" t="s">
        <v>3068</v>
      </c>
      <c r="H199" s="436" t="s">
        <v>3462</v>
      </c>
      <c r="I199" s="486">
        <f>39240+353160</f>
        <v>392400</v>
      </c>
      <c r="J199" s="486">
        <v>19620</v>
      </c>
      <c r="K199" s="486">
        <v>19620</v>
      </c>
      <c r="L199" s="486">
        <v>0</v>
      </c>
      <c r="M199" s="486">
        <v>0</v>
      </c>
      <c r="N199" s="538"/>
      <c r="O199" s="486">
        <f>+I199-(SUM(J199:N199))</f>
        <v>353160</v>
      </c>
    </row>
    <row r="200" spans="1:16" s="440" customFormat="1" x14ac:dyDescent="0.2">
      <c r="A200" s="388" t="s">
        <v>2467</v>
      </c>
      <c r="B200" s="389"/>
      <c r="C200" s="390"/>
      <c r="D200" s="390"/>
      <c r="E200" s="391"/>
      <c r="F200" s="391"/>
      <c r="G200" s="391"/>
      <c r="H200" s="392"/>
      <c r="I200" s="393">
        <f>SUM(I201:I203)</f>
        <v>515250</v>
      </c>
      <c r="J200" s="393">
        <f t="shared" ref="J200:O200" si="22">SUM(J201:J203)</f>
        <v>0</v>
      </c>
      <c r="K200" s="393">
        <f t="shared" si="22"/>
        <v>0</v>
      </c>
      <c r="L200" s="393">
        <f t="shared" si="22"/>
        <v>22500</v>
      </c>
      <c r="M200" s="393">
        <f t="shared" si="22"/>
        <v>67500</v>
      </c>
      <c r="N200" s="537"/>
      <c r="O200" s="393">
        <f t="shared" si="22"/>
        <v>425250</v>
      </c>
    </row>
    <row r="201" spans="1:16" s="440" customFormat="1" ht="187.5" x14ac:dyDescent="0.2">
      <c r="A201" s="438"/>
      <c r="B201" s="437" t="s">
        <v>2984</v>
      </c>
      <c r="C201" s="439" t="s">
        <v>2990</v>
      </c>
      <c r="D201" s="439" t="s">
        <v>2991</v>
      </c>
      <c r="E201" s="435" t="s">
        <v>2223</v>
      </c>
      <c r="F201" s="435" t="s">
        <v>2467</v>
      </c>
      <c r="G201" s="435" t="s">
        <v>2876</v>
      </c>
      <c r="H201" s="436" t="s">
        <v>3463</v>
      </c>
      <c r="I201" s="486">
        <v>315000</v>
      </c>
      <c r="J201" s="486">
        <v>0</v>
      </c>
      <c r="K201" s="486">
        <v>0</v>
      </c>
      <c r="L201" s="486">
        <v>0</v>
      </c>
      <c r="M201" s="486">
        <v>0</v>
      </c>
      <c r="N201" s="538" t="s">
        <v>1786</v>
      </c>
      <c r="O201" s="486">
        <f>+I201-(SUM(J201:N201))</f>
        <v>315000</v>
      </c>
    </row>
    <row r="202" spans="1:16" s="440" customFormat="1" ht="75" x14ac:dyDescent="0.2">
      <c r="A202" s="438"/>
      <c r="B202" s="437" t="s">
        <v>3085</v>
      </c>
      <c r="C202" s="439" t="s">
        <v>3086</v>
      </c>
      <c r="D202" s="439" t="s">
        <v>3087</v>
      </c>
      <c r="E202" s="435" t="s">
        <v>2223</v>
      </c>
      <c r="F202" s="435" t="s">
        <v>2467</v>
      </c>
      <c r="G202" s="435" t="s">
        <v>2154</v>
      </c>
      <c r="H202" s="436" t="s">
        <v>3464</v>
      </c>
      <c r="I202" s="486">
        <v>45000</v>
      </c>
      <c r="J202" s="486">
        <v>0</v>
      </c>
      <c r="K202" s="486">
        <v>0</v>
      </c>
      <c r="L202" s="486">
        <v>22500</v>
      </c>
      <c r="M202" s="486">
        <v>22500</v>
      </c>
      <c r="N202" s="538"/>
      <c r="O202" s="486">
        <f>+I202-(SUM(J202:N202))</f>
        <v>0</v>
      </c>
    </row>
    <row r="203" spans="1:16" s="440" customFormat="1" ht="131.25" x14ac:dyDescent="0.2">
      <c r="A203" s="438"/>
      <c r="B203" s="437" t="s">
        <v>3219</v>
      </c>
      <c r="C203" s="439" t="s">
        <v>3220</v>
      </c>
      <c r="D203" s="439" t="s">
        <v>3221</v>
      </c>
      <c r="E203" s="435" t="s">
        <v>2224</v>
      </c>
      <c r="F203" s="435" t="s">
        <v>2467</v>
      </c>
      <c r="G203" s="435" t="s">
        <v>2154</v>
      </c>
      <c r="H203" s="436" t="s">
        <v>3465</v>
      </c>
      <c r="I203" s="486">
        <v>155250</v>
      </c>
      <c r="J203" s="486">
        <v>0</v>
      </c>
      <c r="K203" s="486">
        <v>0</v>
      </c>
      <c r="L203" s="486">
        <v>0</v>
      </c>
      <c r="M203" s="486">
        <v>45000</v>
      </c>
      <c r="N203" s="538"/>
      <c r="O203" s="486">
        <f>+I203-(SUM(J203:N203))</f>
        <v>110250</v>
      </c>
    </row>
    <row r="204" spans="1:16" s="440" customFormat="1" x14ac:dyDescent="0.2">
      <c r="A204" s="388" t="s">
        <v>2555</v>
      </c>
      <c r="B204" s="389"/>
      <c r="C204" s="390"/>
      <c r="D204" s="390"/>
      <c r="E204" s="391"/>
      <c r="F204" s="391"/>
      <c r="G204" s="391"/>
      <c r="H204" s="392"/>
      <c r="I204" s="393">
        <f>SUM(I205:I206)</f>
        <v>5285453.5</v>
      </c>
      <c r="J204" s="393">
        <f t="shared" ref="J204:O204" si="23">SUM(J205:J206)</f>
        <v>0</v>
      </c>
      <c r="K204" s="393">
        <f t="shared" si="23"/>
        <v>0</v>
      </c>
      <c r="L204" s="393">
        <f t="shared" si="23"/>
        <v>439080</v>
      </c>
      <c r="M204" s="393">
        <f t="shared" si="23"/>
        <v>439080</v>
      </c>
      <c r="N204" s="537"/>
      <c r="O204" s="393">
        <f t="shared" si="23"/>
        <v>4407293.5</v>
      </c>
    </row>
    <row r="205" spans="1:16" s="440" customFormat="1" ht="150" x14ac:dyDescent="0.2">
      <c r="A205" s="438"/>
      <c r="B205" s="437" t="s">
        <v>2976</v>
      </c>
      <c r="C205" s="439" t="s">
        <v>2979</v>
      </c>
      <c r="D205" s="439" t="s">
        <v>2980</v>
      </c>
      <c r="E205" s="435" t="s">
        <v>2578</v>
      </c>
      <c r="F205" s="435" t="s">
        <v>2555</v>
      </c>
      <c r="G205" s="435" t="s">
        <v>930</v>
      </c>
      <c r="H205" s="436" t="s">
        <v>3466</v>
      </c>
      <c r="I205" s="486">
        <v>4232126.8</v>
      </c>
      <c r="J205" s="486">
        <v>0</v>
      </c>
      <c r="K205" s="486">
        <v>0</v>
      </c>
      <c r="L205" s="486">
        <v>0</v>
      </c>
      <c r="M205" s="486">
        <v>0</v>
      </c>
      <c r="N205" s="538" t="s">
        <v>2579</v>
      </c>
      <c r="O205" s="486">
        <f>+I205-(SUM(J205:N205))</f>
        <v>4232126.8</v>
      </c>
    </row>
    <row r="206" spans="1:16" s="328" customFormat="1" ht="20.100000000000001" customHeight="1" x14ac:dyDescent="0.4">
      <c r="A206" s="438"/>
      <c r="B206" s="437" t="s">
        <v>3211</v>
      </c>
      <c r="C206" s="439" t="s">
        <v>3467</v>
      </c>
      <c r="D206" s="439" t="s">
        <v>3468</v>
      </c>
      <c r="E206" s="435" t="s">
        <v>2578</v>
      </c>
      <c r="F206" s="435" t="s">
        <v>2555</v>
      </c>
      <c r="G206" s="435" t="s">
        <v>930</v>
      </c>
      <c r="H206" s="436" t="s">
        <v>3469</v>
      </c>
      <c r="I206" s="486">
        <v>1053326.7</v>
      </c>
      <c r="J206" s="486">
        <v>0</v>
      </c>
      <c r="K206" s="486">
        <v>0</v>
      </c>
      <c r="L206" s="486">
        <v>439080</v>
      </c>
      <c r="M206" s="486">
        <v>439080</v>
      </c>
      <c r="N206" s="538"/>
      <c r="O206" s="486">
        <f>+I206-(SUM(J206:N206))</f>
        <v>175166.69999999995</v>
      </c>
      <c r="P206" s="440"/>
    </row>
    <row r="207" spans="1:16" s="543" customFormat="1" ht="20.100000000000001" customHeight="1" x14ac:dyDescent="0.2">
      <c r="A207" s="540"/>
      <c r="B207" s="541"/>
      <c r="C207" s="438"/>
      <c r="D207" s="438"/>
      <c r="E207" s="435"/>
      <c r="F207" s="436"/>
      <c r="G207" s="436"/>
      <c r="H207" s="436"/>
      <c r="I207" s="542"/>
      <c r="J207" s="542"/>
      <c r="K207" s="542"/>
      <c r="L207" s="542"/>
      <c r="M207" s="542"/>
      <c r="N207" s="530"/>
      <c r="O207" s="542"/>
    </row>
    <row r="208" spans="1:16" s="385" customFormat="1" ht="20.100000000000001" customHeight="1" thickBot="1" x14ac:dyDescent="0.25">
      <c r="A208" s="654" t="s">
        <v>1919</v>
      </c>
      <c r="B208" s="654"/>
      <c r="C208" s="654"/>
      <c r="D208" s="654"/>
      <c r="E208" s="654"/>
      <c r="F208" s="654"/>
      <c r="G208" s="654"/>
      <c r="H208" s="654"/>
      <c r="I208" s="479">
        <f>SUM(I8+I30+I44+I49+I70+I77+I117+I122+I127+I144+I159+I165+I192+I188+I198+I200+I204)</f>
        <v>60633197.980000004</v>
      </c>
      <c r="J208" s="479">
        <f>SUM(J8+J30+J44+J49+J70+J77+J117+J122+J127+J144+J159+J165+J192+J188+J198+J200+J204)</f>
        <v>460083.38900000002</v>
      </c>
      <c r="K208" s="479">
        <f>SUM(K8+K30+K44+K49+K70+K77+K117+K122+K127+K144+K159+K165+K192+K188+K198+K200+K204)</f>
        <v>460083.38900000002</v>
      </c>
      <c r="L208" s="479">
        <f>SUM(L8+L30+L44+L49+L70+L77+L117+L122+L127+L144+L159+L165+L192+L188+L198+L200+L204)</f>
        <v>3230059.12</v>
      </c>
      <c r="M208" s="479">
        <f>SUM(M8+M30+M44+M49+M70+M77+M117+M122+M127+M144+M159+M165+M192+M188+M198+M200+M204)</f>
        <v>3230059.12</v>
      </c>
      <c r="N208" s="544"/>
      <c r="O208" s="479">
        <f>SUM(O8+O30+O44+O49+O70+O77+O117+O122+O127+O144+O159+O165+O192+O188+O198+O200+O204)</f>
        <v>53252912.961999997</v>
      </c>
    </row>
    <row r="209" spans="1:15" s="328" customFormat="1" ht="19.5" thickTop="1" x14ac:dyDescent="0.4">
      <c r="A209" s="366"/>
      <c r="B209" s="367"/>
      <c r="C209" s="329"/>
      <c r="D209" s="329"/>
      <c r="E209" s="331"/>
      <c r="F209" s="332"/>
      <c r="G209" s="332"/>
      <c r="H209" s="332"/>
      <c r="I209" s="369"/>
      <c r="N209" s="545"/>
    </row>
    <row r="210" spans="1:15" s="548" customFormat="1" ht="20.100000000000001" customHeight="1" x14ac:dyDescent="0.2">
      <c r="A210" s="637"/>
      <c r="B210" s="637"/>
      <c r="C210" s="637"/>
      <c r="D210" s="637"/>
      <c r="E210" s="637"/>
      <c r="F210" s="637"/>
      <c r="G210" s="637"/>
      <c r="H210" s="637"/>
      <c r="I210" s="546"/>
      <c r="J210" s="546"/>
      <c r="K210" s="546"/>
      <c r="L210" s="546"/>
      <c r="M210" s="546"/>
      <c r="N210" s="547"/>
      <c r="O210" s="546"/>
    </row>
    <row r="211" spans="1:15" s="555" customFormat="1" x14ac:dyDescent="0.4">
      <c r="A211" s="549"/>
      <c r="B211" s="550"/>
      <c r="C211" s="551"/>
      <c r="D211" s="551"/>
      <c r="E211" s="552"/>
      <c r="F211" s="553"/>
      <c r="G211" s="553"/>
      <c r="H211" s="553"/>
      <c r="I211" s="554"/>
      <c r="N211" s="556"/>
    </row>
    <row r="212" spans="1:15" s="555" customFormat="1" x14ac:dyDescent="0.4">
      <c r="A212" s="549"/>
      <c r="B212" s="550"/>
      <c r="C212" s="551"/>
      <c r="D212" s="551"/>
      <c r="E212" s="552"/>
      <c r="F212" s="553"/>
      <c r="G212" s="553"/>
      <c r="H212" s="553"/>
      <c r="I212" s="554"/>
      <c r="J212" s="554"/>
      <c r="K212" s="554"/>
      <c r="L212" s="554"/>
      <c r="M212" s="554"/>
      <c r="N212" s="557"/>
      <c r="O212" s="554"/>
    </row>
  </sheetData>
  <mergeCells count="19">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A208:H208"/>
    <mergeCell ref="A210:H210"/>
    <mergeCell ref="I6:I7"/>
    <mergeCell ref="J6:K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24"/>
  <sheetViews>
    <sheetView workbookViewId="0">
      <selection activeCell="O23" sqref="O23"/>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A1" s="587" t="s">
        <v>2495</v>
      </c>
      <c r="B1" s="587"/>
      <c r="C1" s="587"/>
      <c r="D1" s="587"/>
      <c r="E1" s="587"/>
      <c r="F1" s="587"/>
      <c r="G1" s="587"/>
      <c r="H1" s="587"/>
      <c r="I1" s="587"/>
      <c r="J1" s="587"/>
      <c r="K1" s="587"/>
      <c r="L1" s="587"/>
      <c r="M1" s="587"/>
      <c r="N1" s="587"/>
      <c r="O1" s="587"/>
    </row>
    <row r="2" spans="1:18" s="405" customFormat="1" x14ac:dyDescent="0.5">
      <c r="A2" s="587" t="s">
        <v>2496</v>
      </c>
      <c r="B2" s="587"/>
      <c r="C2" s="587"/>
      <c r="D2" s="587"/>
      <c r="E2" s="587"/>
      <c r="F2" s="587"/>
      <c r="G2" s="587"/>
      <c r="H2" s="587"/>
      <c r="I2" s="587"/>
      <c r="J2" s="587"/>
      <c r="K2" s="587"/>
      <c r="L2" s="587"/>
      <c r="M2" s="587"/>
      <c r="N2" s="587"/>
      <c r="O2" s="587"/>
    </row>
    <row r="3" spans="1:18" s="405" customFormat="1" x14ac:dyDescent="0.5">
      <c r="A3" s="588" t="s">
        <v>2817</v>
      </c>
      <c r="B3" s="588"/>
      <c r="C3" s="588"/>
      <c r="D3" s="588"/>
      <c r="E3" s="588"/>
      <c r="F3" s="588"/>
      <c r="G3" s="588"/>
      <c r="H3" s="588"/>
      <c r="I3" s="588"/>
      <c r="J3" s="588"/>
      <c r="K3" s="588"/>
      <c r="L3" s="588"/>
      <c r="M3" s="588"/>
      <c r="N3" s="588"/>
      <c r="O3" s="588"/>
    </row>
    <row r="4" spans="1:18" s="405" customFormat="1" x14ac:dyDescent="0.5">
      <c r="A4" s="448"/>
      <c r="B4" s="448"/>
      <c r="C4" s="448"/>
      <c r="D4" s="448"/>
      <c r="E4" s="448"/>
      <c r="F4" s="448"/>
      <c r="G4" s="448"/>
      <c r="H4" s="448"/>
      <c r="I4" s="448"/>
      <c r="J4" s="448"/>
      <c r="K4" s="448"/>
      <c r="L4" s="448"/>
      <c r="M4" s="448"/>
      <c r="N4" s="448"/>
      <c r="O4" s="448"/>
    </row>
    <row r="5" spans="1:18" s="406" customFormat="1" ht="21" x14ac:dyDescent="0.45">
      <c r="A5" s="589" t="s">
        <v>2497</v>
      </c>
      <c r="B5" s="589" t="s">
        <v>1915</v>
      </c>
      <c r="C5" s="592" t="s">
        <v>2498</v>
      </c>
      <c r="D5" s="593"/>
      <c r="E5" s="593"/>
      <c r="F5" s="593"/>
      <c r="G5" s="593"/>
      <c r="H5" s="593"/>
      <c r="I5" s="593"/>
      <c r="J5" s="593"/>
      <c r="K5" s="593"/>
      <c r="L5" s="593"/>
      <c r="M5" s="593"/>
      <c r="N5" s="594"/>
      <c r="O5" s="595" t="s">
        <v>1919</v>
      </c>
    </row>
    <row r="6" spans="1:18" s="406" customFormat="1" ht="21" x14ac:dyDescent="0.45">
      <c r="A6" s="590"/>
      <c r="B6" s="590"/>
      <c r="C6" s="407" t="s">
        <v>2499</v>
      </c>
      <c r="D6" s="407" t="s">
        <v>2500</v>
      </c>
      <c r="E6" s="407" t="s">
        <v>2501</v>
      </c>
      <c r="F6" s="407" t="s">
        <v>2502</v>
      </c>
      <c r="G6" s="407" t="s">
        <v>2503</v>
      </c>
      <c r="H6" s="407" t="s">
        <v>2504</v>
      </c>
      <c r="I6" s="407" t="s">
        <v>2505</v>
      </c>
      <c r="J6" s="407" t="s">
        <v>2506</v>
      </c>
      <c r="K6" s="407" t="s">
        <v>2507</v>
      </c>
      <c r="L6" s="407" t="s">
        <v>2508</v>
      </c>
      <c r="M6" s="407" t="s">
        <v>2509</v>
      </c>
      <c r="N6" s="407" t="s">
        <v>2510</v>
      </c>
      <c r="O6" s="596"/>
    </row>
    <row r="7" spans="1:18" s="409" customFormat="1" ht="21" x14ac:dyDescent="0.45">
      <c r="A7" s="311">
        <v>1</v>
      </c>
      <c r="B7" s="308" t="s">
        <v>739</v>
      </c>
      <c r="C7" s="187">
        <v>20000</v>
      </c>
      <c r="D7" s="187">
        <v>0</v>
      </c>
      <c r="E7" s="187">
        <v>0</v>
      </c>
      <c r="F7" s="187">
        <v>1098880</v>
      </c>
      <c r="G7" s="187">
        <v>0</v>
      </c>
      <c r="H7" s="187">
        <v>0</v>
      </c>
      <c r="I7" s="187">
        <v>0</v>
      </c>
      <c r="J7" s="187">
        <v>0</v>
      </c>
      <c r="K7" s="187">
        <v>0</v>
      </c>
      <c r="L7" s="187">
        <v>0</v>
      </c>
      <c r="M7" s="187">
        <v>94000</v>
      </c>
      <c r="N7" s="187">
        <v>1764650</v>
      </c>
      <c r="O7" s="408">
        <f t="shared" ref="O7:O16" si="0">SUM(C7:N7)</f>
        <v>2977530</v>
      </c>
      <c r="P7" s="432"/>
      <c r="Q7" s="432"/>
      <c r="R7" s="433"/>
    </row>
    <row r="8" spans="1:18" s="409" customFormat="1" ht="21" x14ac:dyDescent="0.45">
      <c r="A8" s="311">
        <v>2</v>
      </c>
      <c r="B8" s="308" t="s">
        <v>360</v>
      </c>
      <c r="C8" s="187">
        <v>490200</v>
      </c>
      <c r="D8" s="187">
        <v>0</v>
      </c>
      <c r="E8" s="187">
        <v>15877</v>
      </c>
      <c r="F8" s="187">
        <v>758190</v>
      </c>
      <c r="G8" s="187">
        <v>0</v>
      </c>
      <c r="H8" s="187">
        <v>142500</v>
      </c>
      <c r="I8" s="187">
        <v>0</v>
      </c>
      <c r="J8" s="187">
        <v>0</v>
      </c>
      <c r="K8" s="187">
        <v>0</v>
      </c>
      <c r="L8" s="187">
        <v>203490</v>
      </c>
      <c r="M8" s="187">
        <v>0</v>
      </c>
      <c r="N8" s="187">
        <v>244245</v>
      </c>
      <c r="O8" s="408">
        <f t="shared" si="0"/>
        <v>1854502</v>
      </c>
      <c r="P8" s="432"/>
      <c r="Q8" s="432"/>
      <c r="R8" s="433"/>
    </row>
    <row r="9" spans="1:18" s="409" customFormat="1" ht="21" x14ac:dyDescent="0.45">
      <c r="A9" s="311">
        <v>3</v>
      </c>
      <c r="B9" s="308" t="s">
        <v>2126</v>
      </c>
      <c r="C9" s="187">
        <v>171000</v>
      </c>
      <c r="D9" s="187">
        <v>0</v>
      </c>
      <c r="E9" s="187">
        <v>0</v>
      </c>
      <c r="F9" s="187">
        <v>0</v>
      </c>
      <c r="G9" s="187">
        <v>0</v>
      </c>
      <c r="H9" s="187">
        <v>0</v>
      </c>
      <c r="I9" s="187">
        <v>142500</v>
      </c>
      <c r="J9" s="187">
        <v>0</v>
      </c>
      <c r="K9" s="187">
        <v>0</v>
      </c>
      <c r="L9" s="187">
        <v>114000</v>
      </c>
      <c r="M9" s="187">
        <v>0</v>
      </c>
      <c r="N9" s="187">
        <v>0</v>
      </c>
      <c r="O9" s="408">
        <f t="shared" si="0"/>
        <v>427500</v>
      </c>
      <c r="P9" s="432"/>
      <c r="Q9" s="432"/>
      <c r="R9" s="433"/>
    </row>
    <row r="10" spans="1:18" s="409" customFormat="1" ht="21" x14ac:dyDescent="0.45">
      <c r="A10" s="311">
        <v>4</v>
      </c>
      <c r="B10" s="308" t="s">
        <v>161</v>
      </c>
      <c r="C10" s="187">
        <v>50000</v>
      </c>
      <c r="D10" s="187">
        <v>353000</v>
      </c>
      <c r="E10" s="187">
        <v>0</v>
      </c>
      <c r="F10" s="187">
        <f>1109496-39546</f>
        <v>1069950</v>
      </c>
      <c r="G10" s="187">
        <v>304000</v>
      </c>
      <c r="H10" s="187">
        <f>1024433-39546</f>
        <v>984887</v>
      </c>
      <c r="I10" s="187">
        <v>389025</v>
      </c>
      <c r="J10" s="187">
        <v>22500</v>
      </c>
      <c r="K10" s="187">
        <v>47500</v>
      </c>
      <c r="L10" s="187">
        <v>440000</v>
      </c>
      <c r="M10" s="187">
        <v>135100</v>
      </c>
      <c r="N10" s="187">
        <v>2681251</v>
      </c>
      <c r="O10" s="408">
        <f t="shared" si="0"/>
        <v>6477213</v>
      </c>
      <c r="P10" s="432"/>
      <c r="Q10" s="432"/>
      <c r="R10" s="433"/>
    </row>
    <row r="11" spans="1:18" s="409" customFormat="1" ht="21" x14ac:dyDescent="0.45">
      <c r="A11" s="311">
        <v>5</v>
      </c>
      <c r="B11" s="308" t="s">
        <v>156</v>
      </c>
      <c r="C11" s="187">
        <v>0</v>
      </c>
      <c r="D11" s="187">
        <v>0</v>
      </c>
      <c r="E11" s="187">
        <v>0</v>
      </c>
      <c r="F11" s="187">
        <v>0</v>
      </c>
      <c r="G11" s="187">
        <v>0</v>
      </c>
      <c r="H11" s="187">
        <v>0</v>
      </c>
      <c r="I11" s="187">
        <v>0</v>
      </c>
      <c r="J11" s="187">
        <v>0</v>
      </c>
      <c r="K11" s="187">
        <v>38190</v>
      </c>
      <c r="L11" s="187">
        <v>0</v>
      </c>
      <c r="M11" s="187">
        <v>0</v>
      </c>
      <c r="N11" s="187">
        <v>3200000</v>
      </c>
      <c r="O11" s="408">
        <f t="shared" si="0"/>
        <v>3238190</v>
      </c>
      <c r="P11" s="432"/>
      <c r="Q11" s="432"/>
      <c r="R11" s="433"/>
    </row>
    <row r="12" spans="1:18" s="409" customFormat="1" ht="21" x14ac:dyDescent="0.45">
      <c r="A12" s="311">
        <v>6</v>
      </c>
      <c r="B12" s="308" t="s">
        <v>2434</v>
      </c>
      <c r="C12" s="187">
        <v>440300</v>
      </c>
      <c r="D12" s="187">
        <v>264666</v>
      </c>
      <c r="E12" s="187">
        <v>134000</v>
      </c>
      <c r="F12" s="187">
        <v>1644762</v>
      </c>
      <c r="G12" s="187">
        <v>381875</v>
      </c>
      <c r="H12" s="187">
        <v>300390</v>
      </c>
      <c r="I12" s="187">
        <v>584250</v>
      </c>
      <c r="J12" s="187">
        <v>1239450</v>
      </c>
      <c r="K12" s="187">
        <v>792265.6</v>
      </c>
      <c r="L12" s="187">
        <v>0</v>
      </c>
      <c r="M12" s="187">
        <v>1197500</v>
      </c>
      <c r="N12" s="187">
        <v>3029500</v>
      </c>
      <c r="O12" s="408">
        <f t="shared" si="0"/>
        <v>10008958.6</v>
      </c>
      <c r="P12" s="432"/>
      <c r="Q12" s="432"/>
      <c r="R12" s="433"/>
    </row>
    <row r="13" spans="1:18" s="409" customFormat="1" ht="21" x14ac:dyDescent="0.45">
      <c r="A13" s="311">
        <v>7</v>
      </c>
      <c r="B13" s="410" t="s">
        <v>1229</v>
      </c>
      <c r="C13" s="411">
        <v>0</v>
      </c>
      <c r="D13" s="411">
        <v>0</v>
      </c>
      <c r="E13" s="411">
        <v>0</v>
      </c>
      <c r="F13" s="411">
        <v>0</v>
      </c>
      <c r="G13" s="187">
        <v>168150</v>
      </c>
      <c r="H13" s="187">
        <v>357613</v>
      </c>
      <c r="I13" s="187"/>
      <c r="J13" s="187"/>
      <c r="K13" s="187"/>
      <c r="L13" s="187"/>
      <c r="M13" s="187">
        <v>10000</v>
      </c>
      <c r="N13" s="187"/>
      <c r="O13" s="408">
        <f t="shared" si="0"/>
        <v>535763</v>
      </c>
      <c r="P13" s="432"/>
      <c r="Q13" s="432"/>
      <c r="R13" s="433"/>
    </row>
    <row r="14" spans="1:18" s="409" customFormat="1" ht="21" x14ac:dyDescent="0.45">
      <c r="A14" s="311">
        <v>8</v>
      </c>
      <c r="B14" s="308" t="s">
        <v>19</v>
      </c>
      <c r="C14" s="187">
        <v>171000</v>
      </c>
      <c r="D14" s="187">
        <v>0</v>
      </c>
      <c r="E14" s="187">
        <v>0</v>
      </c>
      <c r="F14" s="187">
        <v>0</v>
      </c>
      <c r="G14" s="187">
        <v>114000</v>
      </c>
      <c r="H14" s="187">
        <v>150000</v>
      </c>
      <c r="I14" s="187">
        <v>285000</v>
      </c>
      <c r="J14" s="187">
        <v>234000</v>
      </c>
      <c r="K14" s="187">
        <v>30000</v>
      </c>
      <c r="L14" s="187">
        <v>1342000</v>
      </c>
      <c r="M14" s="187">
        <v>0</v>
      </c>
      <c r="N14" s="187">
        <v>831400</v>
      </c>
      <c r="O14" s="408">
        <f t="shared" si="0"/>
        <v>3157400</v>
      </c>
      <c r="P14" s="432"/>
      <c r="Q14" s="432"/>
      <c r="R14" s="433"/>
    </row>
    <row r="15" spans="1:18" s="409" customFormat="1" ht="21" x14ac:dyDescent="0.45">
      <c r="A15" s="311">
        <v>9</v>
      </c>
      <c r="B15" s="308" t="s">
        <v>117</v>
      </c>
      <c r="C15" s="187">
        <v>543050</v>
      </c>
      <c r="D15" s="187">
        <v>817000</v>
      </c>
      <c r="E15" s="187">
        <v>232000</v>
      </c>
      <c r="F15" s="187">
        <v>39000</v>
      </c>
      <c r="G15" s="187">
        <v>0</v>
      </c>
      <c r="H15" s="187">
        <v>0</v>
      </c>
      <c r="I15" s="187">
        <v>39000</v>
      </c>
      <c r="J15" s="187">
        <v>133000</v>
      </c>
      <c r="K15" s="187">
        <v>190000</v>
      </c>
      <c r="L15" s="187">
        <v>20000</v>
      </c>
      <c r="M15" s="187">
        <v>0</v>
      </c>
      <c r="N15" s="187">
        <v>2620000</v>
      </c>
      <c r="O15" s="408">
        <f t="shared" si="0"/>
        <v>4633050</v>
      </c>
      <c r="P15" s="432"/>
      <c r="Q15" s="432"/>
      <c r="R15" s="433"/>
    </row>
    <row r="16" spans="1:18" s="409" customFormat="1" ht="21" x14ac:dyDescent="0.45">
      <c r="A16" s="311">
        <v>10</v>
      </c>
      <c r="B16" s="410" t="s">
        <v>2818</v>
      </c>
      <c r="C16" s="411">
        <v>0</v>
      </c>
      <c r="D16" s="411">
        <v>0</v>
      </c>
      <c r="E16" s="411">
        <v>0</v>
      </c>
      <c r="F16" s="411">
        <v>0</v>
      </c>
      <c r="G16" s="187">
        <v>0</v>
      </c>
      <c r="H16" s="187">
        <v>0</v>
      </c>
      <c r="I16" s="187">
        <v>0</v>
      </c>
      <c r="J16" s="187">
        <v>0</v>
      </c>
      <c r="K16" s="187">
        <v>0</v>
      </c>
      <c r="L16" s="187">
        <v>0</v>
      </c>
      <c r="M16" s="187">
        <v>0</v>
      </c>
      <c r="N16" s="187">
        <v>1269250</v>
      </c>
      <c r="O16" s="408">
        <f t="shared" si="0"/>
        <v>1269250</v>
      </c>
      <c r="P16" s="432"/>
      <c r="Q16" s="432"/>
      <c r="R16" s="433"/>
    </row>
    <row r="17" spans="1:18" s="409" customFormat="1" ht="21" x14ac:dyDescent="0.45">
      <c r="A17" s="311">
        <v>11</v>
      </c>
      <c r="B17" s="308" t="s">
        <v>706</v>
      </c>
      <c r="C17" s="187">
        <v>751732</v>
      </c>
      <c r="D17" s="187">
        <v>0</v>
      </c>
      <c r="E17" s="187">
        <v>0</v>
      </c>
      <c r="F17" s="187">
        <v>0</v>
      </c>
      <c r="G17" s="187">
        <v>60000</v>
      </c>
      <c r="H17" s="187">
        <v>0</v>
      </c>
      <c r="I17" s="187">
        <v>0</v>
      </c>
      <c r="J17" s="187">
        <v>0</v>
      </c>
      <c r="K17" s="187">
        <v>0</v>
      </c>
      <c r="L17" s="187">
        <v>0</v>
      </c>
      <c r="M17" s="187">
        <v>0</v>
      </c>
      <c r="N17" s="187">
        <v>935800</v>
      </c>
      <c r="O17" s="408">
        <f t="shared" ref="O17:O22" si="1">SUM(C17:N17)</f>
        <v>1747532</v>
      </c>
      <c r="P17" s="432"/>
      <c r="Q17" s="432"/>
      <c r="R17" s="433"/>
    </row>
    <row r="18" spans="1:18" s="409" customFormat="1" ht="21" x14ac:dyDescent="0.45">
      <c r="A18" s="311">
        <v>12</v>
      </c>
      <c r="B18" s="410" t="s">
        <v>923</v>
      </c>
      <c r="C18" s="411">
        <v>0</v>
      </c>
      <c r="D18" s="411">
        <v>0</v>
      </c>
      <c r="E18" s="411">
        <v>0</v>
      </c>
      <c r="F18" s="411">
        <v>309000</v>
      </c>
      <c r="G18" s="187">
        <v>0</v>
      </c>
      <c r="H18" s="187">
        <v>0</v>
      </c>
      <c r="I18" s="187">
        <v>0</v>
      </c>
      <c r="J18" s="187">
        <v>0</v>
      </c>
      <c r="K18" s="187">
        <v>0</v>
      </c>
      <c r="L18" s="187">
        <v>0</v>
      </c>
      <c r="M18" s="187">
        <v>0</v>
      </c>
      <c r="N18" s="187">
        <v>0</v>
      </c>
      <c r="O18" s="408">
        <f t="shared" si="1"/>
        <v>309000</v>
      </c>
      <c r="P18" s="432"/>
      <c r="Q18" s="432"/>
      <c r="R18" s="433"/>
    </row>
    <row r="19" spans="1:18" s="409" customFormat="1" ht="21" x14ac:dyDescent="0.45">
      <c r="A19" s="311">
        <v>13</v>
      </c>
      <c r="B19" s="410" t="s">
        <v>2554</v>
      </c>
      <c r="C19" s="411">
        <v>0</v>
      </c>
      <c r="D19" s="411">
        <v>0</v>
      </c>
      <c r="E19" s="411">
        <v>0</v>
      </c>
      <c r="F19" s="411">
        <v>1290960</v>
      </c>
      <c r="G19" s="187">
        <v>0</v>
      </c>
      <c r="H19" s="187">
        <v>1012800</v>
      </c>
      <c r="I19" s="187">
        <v>0</v>
      </c>
      <c r="J19" s="187">
        <v>0</v>
      </c>
      <c r="K19" s="187">
        <v>781500</v>
      </c>
      <c r="L19" s="187">
        <v>0</v>
      </c>
      <c r="M19" s="187">
        <v>620000</v>
      </c>
      <c r="N19" s="187">
        <v>4538070</v>
      </c>
      <c r="O19" s="408">
        <f>SUM(C19:N19)</f>
        <v>8243330</v>
      </c>
      <c r="P19" s="432"/>
      <c r="Q19" s="432"/>
      <c r="R19" s="433"/>
    </row>
    <row r="20" spans="1:18" s="409" customFormat="1" ht="21" x14ac:dyDescent="0.45">
      <c r="A20" s="311">
        <v>14</v>
      </c>
      <c r="B20" s="308" t="s">
        <v>2149</v>
      </c>
      <c r="C20" s="187">
        <v>100000</v>
      </c>
      <c r="D20" s="187">
        <v>234000</v>
      </c>
      <c r="E20" s="187">
        <v>0</v>
      </c>
      <c r="F20" s="187">
        <v>0</v>
      </c>
      <c r="G20" s="187">
        <v>350000</v>
      </c>
      <c r="H20" s="187">
        <v>0</v>
      </c>
      <c r="I20" s="187">
        <v>0</v>
      </c>
      <c r="J20" s="187">
        <v>0</v>
      </c>
      <c r="K20" s="187">
        <v>0</v>
      </c>
      <c r="L20" s="187">
        <v>0</v>
      </c>
      <c r="M20" s="187">
        <v>0</v>
      </c>
      <c r="N20" s="187">
        <v>0</v>
      </c>
      <c r="O20" s="408">
        <f t="shared" si="1"/>
        <v>684000</v>
      </c>
      <c r="P20" s="432"/>
      <c r="Q20" s="432"/>
      <c r="R20" s="433"/>
    </row>
    <row r="21" spans="1:18" s="409" customFormat="1" ht="21" x14ac:dyDescent="0.45">
      <c r="A21" s="311">
        <v>15</v>
      </c>
      <c r="B21" s="410" t="s">
        <v>2467</v>
      </c>
      <c r="C21" s="411">
        <v>0</v>
      </c>
      <c r="D21" s="411">
        <v>205000</v>
      </c>
      <c r="E21" s="187">
        <v>0</v>
      </c>
      <c r="F21" s="187">
        <v>545800</v>
      </c>
      <c r="G21" s="187">
        <v>0</v>
      </c>
      <c r="H21" s="187">
        <v>0</v>
      </c>
      <c r="I21" s="187">
        <v>0</v>
      </c>
      <c r="J21" s="187">
        <v>0</v>
      </c>
      <c r="K21" s="187">
        <v>0</v>
      </c>
      <c r="L21" s="187">
        <v>0</v>
      </c>
      <c r="M21" s="187">
        <v>0</v>
      </c>
      <c r="N21" s="187">
        <v>435000</v>
      </c>
      <c r="O21" s="408">
        <f t="shared" si="1"/>
        <v>1185800</v>
      </c>
      <c r="P21" s="432"/>
      <c r="Q21" s="432"/>
      <c r="R21" s="433"/>
    </row>
    <row r="22" spans="1:18" s="409" customFormat="1" ht="21" x14ac:dyDescent="0.45">
      <c r="A22" s="311">
        <v>16</v>
      </c>
      <c r="B22" s="308" t="s">
        <v>2555</v>
      </c>
      <c r="C22" s="411">
        <v>0</v>
      </c>
      <c r="D22" s="411">
        <v>0</v>
      </c>
      <c r="E22" s="411">
        <v>0</v>
      </c>
      <c r="F22" s="411">
        <v>0</v>
      </c>
      <c r="G22" s="411">
        <v>4407293.5</v>
      </c>
      <c r="H22" s="187">
        <v>0</v>
      </c>
      <c r="I22" s="187">
        <v>0</v>
      </c>
      <c r="J22" s="187">
        <v>0</v>
      </c>
      <c r="K22" s="187">
        <v>0</v>
      </c>
      <c r="L22" s="187">
        <v>0</v>
      </c>
      <c r="M22" s="187">
        <v>0</v>
      </c>
      <c r="N22" s="187">
        <v>0</v>
      </c>
      <c r="O22" s="408">
        <f t="shared" si="1"/>
        <v>4407293.5</v>
      </c>
      <c r="P22" s="432"/>
      <c r="Q22" s="432"/>
      <c r="R22" s="433"/>
    </row>
    <row r="23" spans="1:18" s="414" customFormat="1" ht="21.75" thickBot="1" x14ac:dyDescent="0.5">
      <c r="A23" s="656" t="s">
        <v>1919</v>
      </c>
      <c r="B23" s="657"/>
      <c r="C23" s="412">
        <f t="shared" ref="C23:O23" si="2">SUM(C7:C22)</f>
        <v>2737282</v>
      </c>
      <c r="D23" s="412">
        <f t="shared" si="2"/>
        <v>1873666</v>
      </c>
      <c r="E23" s="412">
        <f t="shared" si="2"/>
        <v>381877</v>
      </c>
      <c r="F23" s="412">
        <f t="shared" si="2"/>
        <v>6756542</v>
      </c>
      <c r="G23" s="412">
        <f t="shared" si="2"/>
        <v>5785318.5</v>
      </c>
      <c r="H23" s="412">
        <f t="shared" si="2"/>
        <v>2948190</v>
      </c>
      <c r="I23" s="412">
        <f t="shared" si="2"/>
        <v>1439775</v>
      </c>
      <c r="J23" s="412">
        <f t="shared" si="2"/>
        <v>1628950</v>
      </c>
      <c r="K23" s="412">
        <f t="shared" si="2"/>
        <v>1879455.6</v>
      </c>
      <c r="L23" s="412">
        <f t="shared" si="2"/>
        <v>2119490</v>
      </c>
      <c r="M23" s="412">
        <f t="shared" si="2"/>
        <v>2056600</v>
      </c>
      <c r="N23" s="412">
        <f t="shared" si="2"/>
        <v>21549166</v>
      </c>
      <c r="O23" s="413">
        <f t="shared" si="2"/>
        <v>51156312.100000001</v>
      </c>
      <c r="P23" s="434"/>
      <c r="Q23" s="434"/>
      <c r="R23" s="433"/>
    </row>
    <row r="24" spans="1:18" s="414" customFormat="1" ht="21.75" thickTop="1" x14ac:dyDescent="0.45">
      <c r="A24" s="415"/>
      <c r="B24" s="415"/>
      <c r="C24" s="416"/>
      <c r="D24" s="416"/>
      <c r="E24" s="416"/>
      <c r="F24" s="416"/>
      <c r="G24" s="416"/>
      <c r="H24" s="416"/>
      <c r="I24" s="416"/>
      <c r="J24" s="416"/>
      <c r="K24" s="416"/>
      <c r="L24" s="416"/>
      <c r="M24" s="416"/>
      <c r="N24" s="416"/>
      <c r="O24" s="416"/>
    </row>
  </sheetData>
  <mergeCells count="8">
    <mergeCell ref="A23:B23"/>
    <mergeCell ref="A1:O1"/>
    <mergeCell ref="A2:O2"/>
    <mergeCell ref="A3:O3"/>
    <mergeCell ref="A5:A6"/>
    <mergeCell ref="B5:B6"/>
    <mergeCell ref="C5:N5"/>
    <mergeCell ref="O5:O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0"/>
  <sheetViews>
    <sheetView zoomScaleNormal="100" workbookViewId="0">
      <selection activeCell="A24" sqref="A24:B24"/>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17.5" style="325" customWidth="1"/>
    <col min="11"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17.5" style="325" customWidth="1"/>
    <col min="267"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17.5" style="325" customWidth="1"/>
    <col min="523"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17.5" style="325" customWidth="1"/>
    <col min="779"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17.5" style="325" customWidth="1"/>
    <col min="1035"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17.5" style="325" customWidth="1"/>
    <col min="1291"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17.5" style="325" customWidth="1"/>
    <col min="1547"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17.5" style="325" customWidth="1"/>
    <col min="1803"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17.5" style="325" customWidth="1"/>
    <col min="2059"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17.5" style="325" customWidth="1"/>
    <col min="2315"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17.5" style="325" customWidth="1"/>
    <col min="2571"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17.5" style="325" customWidth="1"/>
    <col min="2827"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17.5" style="325" customWidth="1"/>
    <col min="3083"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17.5" style="325" customWidth="1"/>
    <col min="3339"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17.5" style="325" customWidth="1"/>
    <col min="3595"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17.5" style="325" customWidth="1"/>
    <col min="3851"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17.5" style="325" customWidth="1"/>
    <col min="4107"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17.5" style="325" customWidth="1"/>
    <col min="4363"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17.5" style="325" customWidth="1"/>
    <col min="4619"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17.5" style="325" customWidth="1"/>
    <col min="4875"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17.5" style="325" customWidth="1"/>
    <col min="5131"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17.5" style="325" customWidth="1"/>
    <col min="5387"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17.5" style="325" customWidth="1"/>
    <col min="5643"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17.5" style="325" customWidth="1"/>
    <col min="5899"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17.5" style="325" customWidth="1"/>
    <col min="6155"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17.5" style="325" customWidth="1"/>
    <col min="6411"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17.5" style="325" customWidth="1"/>
    <col min="6667"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17.5" style="325" customWidth="1"/>
    <col min="6923"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17.5" style="325" customWidth="1"/>
    <col min="7179"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17.5" style="325" customWidth="1"/>
    <col min="7435"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17.5" style="325" customWidth="1"/>
    <col min="7691"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17.5" style="325" customWidth="1"/>
    <col min="7947"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17.5" style="325" customWidth="1"/>
    <col min="8203"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17.5" style="325" customWidth="1"/>
    <col min="8459"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17.5" style="325" customWidth="1"/>
    <col min="8715"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17.5" style="325" customWidth="1"/>
    <col min="8971"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17.5" style="325" customWidth="1"/>
    <col min="9227"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17.5" style="325" customWidth="1"/>
    <col min="9483"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17.5" style="325" customWidth="1"/>
    <col min="9739"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17.5" style="325" customWidth="1"/>
    <col min="9995"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17.5" style="325" customWidth="1"/>
    <col min="10251"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17.5" style="325" customWidth="1"/>
    <col min="10507"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17.5" style="325" customWidth="1"/>
    <col min="10763"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17.5" style="325" customWidth="1"/>
    <col min="11019"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17.5" style="325" customWidth="1"/>
    <col min="11275"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17.5" style="325" customWidth="1"/>
    <col min="11531"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17.5" style="325" customWidth="1"/>
    <col min="11787"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17.5" style="325" customWidth="1"/>
    <col min="12043"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17.5" style="325" customWidth="1"/>
    <col min="12299"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17.5" style="325" customWidth="1"/>
    <col min="12555"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17.5" style="325" customWidth="1"/>
    <col min="12811"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17.5" style="325" customWidth="1"/>
    <col min="13067"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17.5" style="325" customWidth="1"/>
    <col min="13323"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17.5" style="325" customWidth="1"/>
    <col min="13579"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17.5" style="325" customWidth="1"/>
    <col min="13835"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17.5" style="325" customWidth="1"/>
    <col min="14091"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17.5" style="325" customWidth="1"/>
    <col min="14347"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17.5" style="325" customWidth="1"/>
    <col min="14603"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17.5" style="325" customWidth="1"/>
    <col min="14859"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17.5" style="325" customWidth="1"/>
    <col min="15115"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17.5" style="325" customWidth="1"/>
    <col min="15371"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17.5" style="325" customWidth="1"/>
    <col min="15627"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17.5" style="325" customWidth="1"/>
    <col min="15883"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17.5" style="325" customWidth="1"/>
    <col min="16139" max="16384" width="9" style="325"/>
  </cols>
  <sheetData>
    <row r="1" spans="1:10" s="298" customFormat="1" x14ac:dyDescent="0.5">
      <c r="A1" s="660" t="s">
        <v>1913</v>
      </c>
      <c r="B1" s="660"/>
      <c r="C1" s="660"/>
      <c r="D1" s="660"/>
      <c r="E1" s="660"/>
      <c r="F1" s="660"/>
      <c r="G1" s="660"/>
      <c r="H1" s="660"/>
      <c r="I1" s="660"/>
    </row>
    <row r="2" spans="1:10" s="298" customFormat="1" x14ac:dyDescent="0.5">
      <c r="A2" s="660" t="s">
        <v>2125</v>
      </c>
      <c r="B2" s="660"/>
      <c r="C2" s="660"/>
      <c r="D2" s="660"/>
      <c r="E2" s="660"/>
      <c r="F2" s="660"/>
      <c r="G2" s="660"/>
      <c r="H2" s="660"/>
      <c r="I2" s="660"/>
    </row>
    <row r="3" spans="1:10" s="298" customFormat="1" x14ac:dyDescent="0.5">
      <c r="A3" s="660" t="s">
        <v>2817</v>
      </c>
      <c r="B3" s="660"/>
      <c r="C3" s="660"/>
      <c r="D3" s="660"/>
      <c r="E3" s="660"/>
      <c r="F3" s="660"/>
      <c r="G3" s="660"/>
      <c r="H3" s="660"/>
      <c r="I3" s="660"/>
    </row>
    <row r="4" spans="1:10" s="301" customFormat="1" ht="14.25" customHeight="1" x14ac:dyDescent="0.45">
      <c r="A4" s="299"/>
      <c r="B4" s="299"/>
      <c r="C4" s="300"/>
    </row>
    <row r="5" spans="1:10" s="303" customFormat="1" ht="42" customHeight="1" x14ac:dyDescent="0.45">
      <c r="A5" s="619" t="s">
        <v>253</v>
      </c>
      <c r="B5" s="619" t="s">
        <v>1915</v>
      </c>
      <c r="C5" s="661" t="s">
        <v>263</v>
      </c>
      <c r="D5" s="653" t="s">
        <v>2148</v>
      </c>
      <c r="E5" s="653"/>
      <c r="F5" s="653"/>
      <c r="G5" s="653"/>
      <c r="H5" s="653"/>
      <c r="I5" s="662" t="s">
        <v>256</v>
      </c>
      <c r="J5" s="302"/>
    </row>
    <row r="6" spans="1:10" s="304" customFormat="1" ht="65.25" customHeight="1" x14ac:dyDescent="0.2">
      <c r="A6" s="619"/>
      <c r="B6" s="619"/>
      <c r="C6" s="661"/>
      <c r="D6" s="629" t="s">
        <v>2239</v>
      </c>
      <c r="E6" s="630"/>
      <c r="F6" s="624" t="s">
        <v>265</v>
      </c>
      <c r="G6" s="625"/>
      <c r="H6" s="626"/>
      <c r="I6" s="663"/>
    </row>
    <row r="7" spans="1:10" s="303" customFormat="1" ht="36" customHeight="1" x14ac:dyDescent="0.45">
      <c r="A7" s="619"/>
      <c r="B7" s="619"/>
      <c r="C7" s="661"/>
      <c r="D7" s="305" t="s">
        <v>1916</v>
      </c>
      <c r="E7" s="305" t="s">
        <v>1917</v>
      </c>
      <c r="F7" s="306" t="s">
        <v>1916</v>
      </c>
      <c r="G7" s="306" t="s">
        <v>1917</v>
      </c>
      <c r="H7" s="306" t="s">
        <v>1918</v>
      </c>
      <c r="I7" s="664"/>
      <c r="J7" s="302"/>
    </row>
    <row r="8" spans="1:10" s="310" customFormat="1" ht="20.25" customHeight="1" x14ac:dyDescent="0.2">
      <c r="A8" s="307">
        <v>1</v>
      </c>
      <c r="B8" s="308" t="s">
        <v>739</v>
      </c>
      <c r="C8" s="309">
        <v>2977530</v>
      </c>
      <c r="D8" s="309">
        <v>450</v>
      </c>
      <c r="E8" s="309">
        <v>450</v>
      </c>
      <c r="F8" s="309">
        <v>0</v>
      </c>
      <c r="G8" s="309">
        <v>85000</v>
      </c>
      <c r="H8" s="309"/>
      <c r="I8" s="309">
        <v>2891630</v>
      </c>
    </row>
    <row r="9" spans="1:10" s="313" customFormat="1" ht="20.25" customHeight="1" x14ac:dyDescent="0.2">
      <c r="A9" s="307">
        <v>2</v>
      </c>
      <c r="B9" s="308" t="s">
        <v>360</v>
      </c>
      <c r="C9" s="312">
        <v>1854502</v>
      </c>
      <c r="D9" s="312">
        <v>44376</v>
      </c>
      <c r="E9" s="312">
        <v>44376</v>
      </c>
      <c r="F9" s="312">
        <v>63654.5</v>
      </c>
      <c r="G9" s="312">
        <v>63654.5</v>
      </c>
      <c r="H9" s="312"/>
      <c r="I9" s="309">
        <v>1638441</v>
      </c>
    </row>
    <row r="10" spans="1:10" s="426" customFormat="1" ht="20.25" customHeight="1" x14ac:dyDescent="0.2">
      <c r="A10" s="307">
        <v>3</v>
      </c>
      <c r="B10" s="423" t="s">
        <v>2126</v>
      </c>
      <c r="C10" s="424">
        <v>427500</v>
      </c>
      <c r="D10" s="424">
        <v>0</v>
      </c>
      <c r="E10" s="424">
        <v>0</v>
      </c>
      <c r="F10" s="424">
        <v>21375</v>
      </c>
      <c r="G10" s="424">
        <v>21375</v>
      </c>
      <c r="H10" s="424"/>
      <c r="I10" s="425">
        <v>384750</v>
      </c>
    </row>
    <row r="11" spans="1:10" s="426" customFormat="1" ht="20.25" customHeight="1" x14ac:dyDescent="0.2">
      <c r="A11" s="307">
        <v>4</v>
      </c>
      <c r="B11" s="423" t="s">
        <v>161</v>
      </c>
      <c r="C11" s="424">
        <v>6477213</v>
      </c>
      <c r="D11" s="424">
        <v>171800</v>
      </c>
      <c r="E11" s="424">
        <v>171800</v>
      </c>
      <c r="F11" s="424">
        <v>111406</v>
      </c>
      <c r="G11" s="424">
        <v>196406</v>
      </c>
      <c r="H11" s="424"/>
      <c r="I11" s="425">
        <v>5825801</v>
      </c>
    </row>
    <row r="12" spans="1:10" s="429" customFormat="1" ht="20.25" customHeight="1" x14ac:dyDescent="0.2">
      <c r="A12" s="307">
        <v>5</v>
      </c>
      <c r="B12" s="427" t="s">
        <v>156</v>
      </c>
      <c r="C12" s="428">
        <v>3238190</v>
      </c>
      <c r="D12" s="428">
        <v>0</v>
      </c>
      <c r="E12" s="428">
        <v>0</v>
      </c>
      <c r="F12" s="428">
        <v>123050</v>
      </c>
      <c r="G12" s="428">
        <v>123050</v>
      </c>
      <c r="H12" s="428"/>
      <c r="I12" s="425">
        <v>2992090</v>
      </c>
    </row>
    <row r="13" spans="1:10" s="313" customFormat="1" ht="20.25" customHeight="1" x14ac:dyDescent="0.2">
      <c r="A13" s="307">
        <v>6</v>
      </c>
      <c r="B13" s="308" t="s">
        <v>2434</v>
      </c>
      <c r="C13" s="312">
        <v>10008958.6</v>
      </c>
      <c r="D13" s="312">
        <v>205554.598</v>
      </c>
      <c r="E13" s="312">
        <v>205554.598</v>
      </c>
      <c r="F13" s="312">
        <v>138861</v>
      </c>
      <c r="G13" s="312">
        <v>266361</v>
      </c>
      <c r="H13" s="312"/>
      <c r="I13" s="309">
        <v>9192627.4039999992</v>
      </c>
    </row>
    <row r="14" spans="1:10" s="313" customFormat="1" ht="20.25" customHeight="1" x14ac:dyDescent="0.2">
      <c r="A14" s="307">
        <v>7</v>
      </c>
      <c r="B14" s="308" t="s">
        <v>1229</v>
      </c>
      <c r="C14" s="312">
        <v>535763</v>
      </c>
      <c r="D14" s="312">
        <v>88000</v>
      </c>
      <c r="E14" s="312">
        <v>88000</v>
      </c>
      <c r="F14" s="312">
        <v>8407.5</v>
      </c>
      <c r="G14" s="312">
        <v>8407.5</v>
      </c>
      <c r="H14" s="312"/>
      <c r="I14" s="309">
        <v>342948</v>
      </c>
    </row>
    <row r="15" spans="1:10" s="313" customFormat="1" ht="20.25" customHeight="1" x14ac:dyDescent="0.2">
      <c r="A15" s="307">
        <v>8</v>
      </c>
      <c r="B15" s="308" t="s">
        <v>19</v>
      </c>
      <c r="C15" s="312">
        <v>3157400</v>
      </c>
      <c r="D15" s="312">
        <v>13500</v>
      </c>
      <c r="E15" s="312">
        <v>13500</v>
      </c>
      <c r="F15" s="312">
        <v>49950</v>
      </c>
      <c r="G15" s="312">
        <v>49950</v>
      </c>
      <c r="H15" s="312"/>
      <c r="I15" s="309">
        <v>3030500</v>
      </c>
    </row>
    <row r="16" spans="1:10" s="313" customFormat="1" ht="20.25" customHeight="1" x14ac:dyDescent="0.2">
      <c r="A16" s="307">
        <v>9</v>
      </c>
      <c r="B16" s="308" t="s">
        <v>117</v>
      </c>
      <c r="C16" s="312">
        <v>4633050</v>
      </c>
      <c r="D16" s="312">
        <v>207750</v>
      </c>
      <c r="E16" s="312">
        <v>207750</v>
      </c>
      <c r="F16" s="312">
        <v>9500</v>
      </c>
      <c r="G16" s="312">
        <v>9500</v>
      </c>
      <c r="H16" s="312"/>
      <c r="I16" s="309">
        <v>4198550</v>
      </c>
    </row>
    <row r="17" spans="1:9" s="313" customFormat="1" ht="20.25" customHeight="1" x14ac:dyDescent="0.2">
      <c r="A17" s="307">
        <v>10</v>
      </c>
      <c r="B17" s="308" t="s">
        <v>2818</v>
      </c>
      <c r="C17" s="312">
        <v>1269250</v>
      </c>
      <c r="D17" s="312">
        <v>0</v>
      </c>
      <c r="E17" s="312">
        <v>0</v>
      </c>
      <c r="F17" s="312">
        <v>0</v>
      </c>
      <c r="G17" s="312">
        <v>0</v>
      </c>
      <c r="H17" s="312"/>
      <c r="I17" s="309">
        <v>1269250</v>
      </c>
    </row>
    <row r="18" spans="1:9" s="313" customFormat="1" ht="20.25" customHeight="1" x14ac:dyDescent="0.2">
      <c r="A18" s="307">
        <v>11</v>
      </c>
      <c r="B18" s="308" t="s">
        <v>706</v>
      </c>
      <c r="C18" s="312">
        <v>1747532</v>
      </c>
      <c r="D18" s="312">
        <v>0</v>
      </c>
      <c r="E18" s="312">
        <v>0</v>
      </c>
      <c r="F18" s="312">
        <v>6750</v>
      </c>
      <c r="G18" s="312">
        <v>6750</v>
      </c>
      <c r="H18" s="312"/>
      <c r="I18" s="309">
        <v>1734032</v>
      </c>
    </row>
    <row r="19" spans="1:9" s="313" customFormat="1" ht="20.25" customHeight="1" x14ac:dyDescent="0.2">
      <c r="A19" s="307">
        <v>12</v>
      </c>
      <c r="B19" s="308" t="s">
        <v>923</v>
      </c>
      <c r="C19" s="312">
        <v>309000</v>
      </c>
      <c r="D19" s="312">
        <v>0</v>
      </c>
      <c r="E19" s="312">
        <v>0</v>
      </c>
      <c r="F19" s="312">
        <v>0</v>
      </c>
      <c r="G19" s="312">
        <v>0</v>
      </c>
      <c r="H19" s="312"/>
      <c r="I19" s="309">
        <v>309000</v>
      </c>
    </row>
    <row r="20" spans="1:9" s="317" customFormat="1" ht="20.25" customHeight="1" x14ac:dyDescent="0.2">
      <c r="A20" s="307">
        <v>13</v>
      </c>
      <c r="B20" s="308" t="s">
        <v>2554</v>
      </c>
      <c r="C20" s="312">
        <v>8243330</v>
      </c>
      <c r="D20" s="312">
        <v>0</v>
      </c>
      <c r="E20" s="312">
        <v>0</v>
      </c>
      <c r="F20" s="312">
        <v>425000</v>
      </c>
      <c r="G20" s="312">
        <v>127500</v>
      </c>
      <c r="H20" s="312"/>
      <c r="I20" s="309">
        <v>7690830</v>
      </c>
    </row>
    <row r="21" spans="1:9" s="313" customFormat="1" ht="20.25" customHeight="1" x14ac:dyDescent="0.2">
      <c r="A21" s="307">
        <v>14</v>
      </c>
      <c r="B21" s="308" t="s">
        <v>2149</v>
      </c>
      <c r="C21" s="312">
        <v>684000</v>
      </c>
      <c r="D21" s="312">
        <v>34200</v>
      </c>
      <c r="E21" s="312">
        <v>34200</v>
      </c>
      <c r="F21" s="312">
        <v>0</v>
      </c>
      <c r="G21" s="312">
        <v>0</v>
      </c>
      <c r="H21" s="312"/>
      <c r="I21" s="309">
        <v>615600</v>
      </c>
    </row>
    <row r="22" spans="1:9" s="317" customFormat="1" ht="20.25" customHeight="1" x14ac:dyDescent="0.2">
      <c r="A22" s="307">
        <v>15</v>
      </c>
      <c r="B22" s="315" t="s">
        <v>2467</v>
      </c>
      <c r="C22" s="316">
        <v>1185800</v>
      </c>
      <c r="D22" s="316">
        <v>0</v>
      </c>
      <c r="E22" s="316">
        <v>0</v>
      </c>
      <c r="F22" s="316">
        <v>0</v>
      </c>
      <c r="G22" s="316">
        <v>0</v>
      </c>
      <c r="H22" s="316"/>
      <c r="I22" s="309">
        <v>1185800</v>
      </c>
    </row>
    <row r="23" spans="1:9" s="322" customFormat="1" ht="22.5" customHeight="1" x14ac:dyDescent="0.45">
      <c r="A23" s="307">
        <v>16</v>
      </c>
      <c r="B23" s="420" t="s">
        <v>2555</v>
      </c>
      <c r="C23" s="421">
        <v>4407293.5</v>
      </c>
      <c r="D23" s="421">
        <v>0</v>
      </c>
      <c r="E23" s="421">
        <v>0</v>
      </c>
      <c r="F23" s="421">
        <v>0</v>
      </c>
      <c r="G23" s="421">
        <v>0</v>
      </c>
      <c r="H23" s="421"/>
      <c r="I23" s="422">
        <v>4407293.5</v>
      </c>
    </row>
    <row r="24" spans="1:9" ht="24" thickBot="1" x14ac:dyDescent="0.55000000000000004">
      <c r="A24" s="658" t="s">
        <v>1919</v>
      </c>
      <c r="B24" s="659"/>
      <c r="C24" s="318">
        <f>SUM(C8:C23)</f>
        <v>51156312.100000001</v>
      </c>
      <c r="D24" s="319">
        <f>SUM(D8:D23)</f>
        <v>765630.598</v>
      </c>
      <c r="E24" s="319">
        <f>SUM(E8:E23)</f>
        <v>765630.598</v>
      </c>
      <c r="F24" s="320">
        <f>SUM(F8:F23)</f>
        <v>957954</v>
      </c>
      <c r="G24" s="320">
        <f>SUM(G8:G23)</f>
        <v>957954</v>
      </c>
      <c r="H24" s="320"/>
      <c r="I24" s="321">
        <f>SUM(I8:I23)</f>
        <v>47709142.903999999</v>
      </c>
    </row>
    <row r="25" spans="1:9" s="313" customFormat="1" ht="20.25" customHeight="1" thickTop="1" x14ac:dyDescent="0.5">
      <c r="A25" s="323"/>
      <c r="B25" s="323"/>
      <c r="C25" s="324"/>
      <c r="D25" s="325"/>
      <c r="E25" s="325"/>
      <c r="F25" s="325"/>
      <c r="G25" s="325"/>
      <c r="H25" s="325"/>
      <c r="I25" s="325"/>
    </row>
    <row r="26" spans="1:9" x14ac:dyDescent="0.5">
      <c r="C26" s="333"/>
      <c r="D26" s="333"/>
      <c r="E26" s="333"/>
      <c r="F26" s="333"/>
      <c r="G26" s="333"/>
      <c r="H26" s="333"/>
      <c r="I26" s="333"/>
    </row>
    <row r="27" spans="1:9" x14ac:dyDescent="0.5">
      <c r="C27" s="373"/>
      <c r="D27" s="373"/>
      <c r="E27" s="373"/>
      <c r="F27" s="373"/>
      <c r="G27" s="373"/>
      <c r="H27" s="373"/>
      <c r="I27" s="373"/>
    </row>
    <row r="30" spans="1:9" x14ac:dyDescent="0.5">
      <c r="D30" s="324"/>
      <c r="E30" s="324"/>
      <c r="F30" s="324"/>
      <c r="G30" s="324"/>
      <c r="H30" s="324"/>
      <c r="I30" s="324"/>
    </row>
  </sheetData>
  <mergeCells count="11">
    <mergeCell ref="A24:B24"/>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7"/>
  <sheetViews>
    <sheetView workbookViewId="0">
      <pane xSplit="9" ySplit="7" topLeftCell="J8" activePane="bottomRight" state="frozen"/>
      <selection pane="topRight" activeCell="J1" sqref="J1"/>
      <selection pane="bottomLeft" activeCell="A8" sqref="A8"/>
      <selection pane="bottomRight" activeCell="F11" sqref="F11"/>
    </sheetView>
  </sheetViews>
  <sheetFormatPr defaultRowHeight="18.75" x14ac:dyDescent="0.4"/>
  <cols>
    <col min="1" max="1" width="4.625" style="366" customWidth="1"/>
    <col min="2" max="2" width="9.125" style="367" customWidth="1"/>
    <col min="3" max="3" width="12.125" style="366" customWidth="1"/>
    <col min="4" max="4" width="17.375" style="366" customWidth="1"/>
    <col min="5" max="5" width="22.625" style="331" customWidth="1"/>
    <col min="6" max="7" width="17.125" style="332" customWidth="1"/>
    <col min="8" max="8" width="28.125" style="332" customWidth="1"/>
    <col min="9" max="9" width="12.625" style="369" customWidth="1"/>
    <col min="10" max="13" width="11.625" style="328" customWidth="1"/>
    <col min="14" max="14" width="9.625" style="430" customWidth="1"/>
    <col min="15" max="15" width="11.625" style="328" customWidth="1"/>
    <col min="16" max="256" width="9" style="328"/>
    <col min="257" max="257" width="4.625" style="328" customWidth="1"/>
    <col min="258" max="258" width="9.125" style="328" customWidth="1"/>
    <col min="259" max="259" width="12.125" style="328" customWidth="1"/>
    <col min="260" max="260" width="17.37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2.125" style="328" customWidth="1"/>
    <col min="516" max="516" width="17.37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2.125" style="328" customWidth="1"/>
    <col min="772" max="772" width="17.37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2.125" style="328" customWidth="1"/>
    <col min="1028" max="1028" width="17.37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2.125" style="328" customWidth="1"/>
    <col min="1284" max="1284" width="17.37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2.125" style="328" customWidth="1"/>
    <col min="1540" max="1540" width="17.37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2.125" style="328" customWidth="1"/>
    <col min="1796" max="1796" width="17.37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2.125" style="328" customWidth="1"/>
    <col min="2052" max="2052" width="17.37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2.125" style="328" customWidth="1"/>
    <col min="2308" max="2308" width="17.37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2.125" style="328" customWidth="1"/>
    <col min="2564" max="2564" width="17.37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2.125" style="328" customWidth="1"/>
    <col min="2820" max="2820" width="17.37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2.125" style="328" customWidth="1"/>
    <col min="3076" max="3076" width="17.37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2.125" style="328" customWidth="1"/>
    <col min="3332" max="3332" width="17.37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2.125" style="328" customWidth="1"/>
    <col min="3588" max="3588" width="17.37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2.125" style="328" customWidth="1"/>
    <col min="3844" max="3844" width="17.37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2.125" style="328" customWidth="1"/>
    <col min="4100" max="4100" width="17.37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2.125" style="328" customWidth="1"/>
    <col min="4356" max="4356" width="17.37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2.125" style="328" customWidth="1"/>
    <col min="4612" max="4612" width="17.37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2.125" style="328" customWidth="1"/>
    <col min="4868" max="4868" width="17.37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2.125" style="328" customWidth="1"/>
    <col min="5124" max="5124" width="17.37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2.125" style="328" customWidth="1"/>
    <col min="5380" max="5380" width="17.37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2.125" style="328" customWidth="1"/>
    <col min="5636" max="5636" width="17.37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2.125" style="328" customWidth="1"/>
    <col min="5892" max="5892" width="17.37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2.125" style="328" customWidth="1"/>
    <col min="6148" max="6148" width="17.37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2.125" style="328" customWidth="1"/>
    <col min="6404" max="6404" width="17.37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2.125" style="328" customWidth="1"/>
    <col min="6660" max="6660" width="17.37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2.125" style="328" customWidth="1"/>
    <col min="6916" max="6916" width="17.37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2.125" style="328" customWidth="1"/>
    <col min="7172" max="7172" width="17.37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2.125" style="328" customWidth="1"/>
    <col min="7428" max="7428" width="17.37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2.125" style="328" customWidth="1"/>
    <col min="7684" max="7684" width="17.37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2.125" style="328" customWidth="1"/>
    <col min="7940" max="7940" width="17.37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2.125" style="328" customWidth="1"/>
    <col min="8196" max="8196" width="17.37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2.125" style="328" customWidth="1"/>
    <col min="8452" max="8452" width="17.37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2.125" style="328" customWidth="1"/>
    <col min="8708" max="8708" width="17.37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2.125" style="328" customWidth="1"/>
    <col min="8964" max="8964" width="17.37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2.125" style="328" customWidth="1"/>
    <col min="9220" max="9220" width="17.37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2.125" style="328" customWidth="1"/>
    <col min="9476" max="9476" width="17.37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2.125" style="328" customWidth="1"/>
    <col min="9732" max="9732" width="17.37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2.125" style="328" customWidth="1"/>
    <col min="9988" max="9988" width="17.37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2.125" style="328" customWidth="1"/>
    <col min="10244" max="10244" width="17.37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2.125" style="328" customWidth="1"/>
    <col min="10500" max="10500" width="17.37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2.125" style="328" customWidth="1"/>
    <col min="10756" max="10756" width="17.37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2.125" style="328" customWidth="1"/>
    <col min="11012" max="11012" width="17.37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2.125" style="328" customWidth="1"/>
    <col min="11268" max="11268" width="17.37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2.125" style="328" customWidth="1"/>
    <col min="11524" max="11524" width="17.37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2.125" style="328" customWidth="1"/>
    <col min="11780" max="11780" width="17.37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2.125" style="328" customWidth="1"/>
    <col min="12036" max="12036" width="17.37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2.125" style="328" customWidth="1"/>
    <col min="12292" max="12292" width="17.37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2.125" style="328" customWidth="1"/>
    <col min="12548" max="12548" width="17.37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2.125" style="328" customWidth="1"/>
    <col min="12804" max="12804" width="17.37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2.125" style="328" customWidth="1"/>
    <col min="13060" max="13060" width="17.37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2.125" style="328" customWidth="1"/>
    <col min="13316" max="13316" width="17.37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2.125" style="328" customWidth="1"/>
    <col min="13572" max="13572" width="17.37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2.125" style="328" customWidth="1"/>
    <col min="13828" max="13828" width="17.37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2.125" style="328" customWidth="1"/>
    <col min="14084" max="14084" width="17.37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2.125" style="328" customWidth="1"/>
    <col min="14340" max="14340" width="17.37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2.125" style="328" customWidth="1"/>
    <col min="14596" max="14596" width="17.37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2.125" style="328" customWidth="1"/>
    <col min="14852" max="14852" width="17.37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2.125" style="328" customWidth="1"/>
    <col min="15108" max="15108" width="17.37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2.125" style="328" customWidth="1"/>
    <col min="15364" max="15364" width="17.37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2.125" style="328" customWidth="1"/>
    <col min="15620" max="15620" width="17.37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2.125" style="328" customWidth="1"/>
    <col min="15876" max="15876" width="17.37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2.125" style="328" customWidth="1"/>
    <col min="16132" max="16132" width="17.37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72" t="s">
        <v>1913</v>
      </c>
      <c r="B1" s="672"/>
      <c r="C1" s="672"/>
      <c r="D1" s="672"/>
      <c r="E1" s="672"/>
      <c r="F1" s="672"/>
      <c r="G1" s="672"/>
      <c r="H1" s="672"/>
      <c r="I1" s="672"/>
      <c r="J1" s="672"/>
      <c r="K1" s="672"/>
      <c r="L1" s="672"/>
      <c r="M1" s="672"/>
      <c r="N1" s="672"/>
      <c r="O1" s="672"/>
    </row>
    <row r="2" spans="1:16" ht="21" x14ac:dyDescent="0.45">
      <c r="A2" s="672" t="s">
        <v>1920</v>
      </c>
      <c r="B2" s="672"/>
      <c r="C2" s="672"/>
      <c r="D2" s="672"/>
      <c r="E2" s="672"/>
      <c r="F2" s="672"/>
      <c r="G2" s="672"/>
      <c r="H2" s="672"/>
      <c r="I2" s="672"/>
      <c r="J2" s="672"/>
      <c r="K2" s="672"/>
      <c r="L2" s="672"/>
      <c r="M2" s="672"/>
      <c r="N2" s="672"/>
      <c r="O2" s="672"/>
    </row>
    <row r="3" spans="1:16" ht="21" x14ac:dyDescent="0.45">
      <c r="A3" s="672" t="s">
        <v>2817</v>
      </c>
      <c r="B3" s="672"/>
      <c r="C3" s="672"/>
      <c r="D3" s="672"/>
      <c r="E3" s="672"/>
      <c r="F3" s="672"/>
      <c r="G3" s="672"/>
      <c r="H3" s="672"/>
      <c r="I3" s="672"/>
      <c r="J3" s="672"/>
      <c r="K3" s="672"/>
      <c r="L3" s="672"/>
      <c r="M3" s="672"/>
      <c r="N3" s="672"/>
      <c r="O3" s="672"/>
    </row>
    <row r="4" spans="1:16" s="332" customFormat="1" ht="8.1" customHeight="1" x14ac:dyDescent="0.4">
      <c r="A4" s="329"/>
      <c r="B4" s="330"/>
      <c r="C4" s="366"/>
      <c r="D4" s="366"/>
      <c r="E4" s="331"/>
      <c r="I4" s="333"/>
      <c r="N4" s="430"/>
    </row>
    <row r="5" spans="1:16" s="335" customFormat="1" ht="42" customHeight="1" x14ac:dyDescent="0.4">
      <c r="A5" s="673" t="s">
        <v>253</v>
      </c>
      <c r="B5" s="673" t="s">
        <v>254</v>
      </c>
      <c r="C5" s="673"/>
      <c r="D5" s="673"/>
      <c r="E5" s="673"/>
      <c r="F5" s="673"/>
      <c r="G5" s="673"/>
      <c r="H5" s="673"/>
      <c r="I5" s="673"/>
      <c r="J5" s="675" t="s">
        <v>2148</v>
      </c>
      <c r="K5" s="675"/>
      <c r="L5" s="675"/>
      <c r="M5" s="675"/>
      <c r="N5" s="675"/>
      <c r="O5" s="676" t="s">
        <v>256</v>
      </c>
    </row>
    <row r="6" spans="1:16" s="336" customFormat="1" ht="57.75" customHeight="1" x14ac:dyDescent="0.2">
      <c r="A6" s="673"/>
      <c r="B6" s="678" t="s">
        <v>257</v>
      </c>
      <c r="C6" s="680" t="s">
        <v>2</v>
      </c>
      <c r="D6" s="680" t="s">
        <v>258</v>
      </c>
      <c r="E6" s="673" t="s">
        <v>259</v>
      </c>
      <c r="F6" s="673" t="s">
        <v>260</v>
      </c>
      <c r="G6" s="673" t="s">
        <v>261</v>
      </c>
      <c r="H6" s="673" t="s">
        <v>262</v>
      </c>
      <c r="I6" s="668" t="s">
        <v>263</v>
      </c>
      <c r="J6" s="670" t="s">
        <v>2239</v>
      </c>
      <c r="K6" s="671"/>
      <c r="L6" s="682" t="s">
        <v>265</v>
      </c>
      <c r="M6" s="682"/>
      <c r="N6" s="682"/>
      <c r="O6" s="676"/>
    </row>
    <row r="7" spans="1:16" s="335" customFormat="1" ht="60" customHeight="1" x14ac:dyDescent="0.4">
      <c r="A7" s="674"/>
      <c r="B7" s="679"/>
      <c r="C7" s="681"/>
      <c r="D7" s="681"/>
      <c r="E7" s="674"/>
      <c r="F7" s="674"/>
      <c r="G7" s="674"/>
      <c r="H7" s="674"/>
      <c r="I7" s="669"/>
      <c r="J7" s="403" t="s">
        <v>266</v>
      </c>
      <c r="K7" s="403" t="s">
        <v>267</v>
      </c>
      <c r="L7" s="404" t="s">
        <v>266</v>
      </c>
      <c r="M7" s="404" t="s">
        <v>267</v>
      </c>
      <c r="N7" s="431" t="s">
        <v>2606</v>
      </c>
      <c r="O7" s="677"/>
    </row>
    <row r="8" spans="1:16" x14ac:dyDescent="0.4">
      <c r="A8" s="388" t="s">
        <v>739</v>
      </c>
      <c r="B8" s="389"/>
      <c r="C8" s="482"/>
      <c r="D8" s="482"/>
      <c r="E8" s="388"/>
      <c r="F8" s="388"/>
      <c r="G8" s="388"/>
      <c r="H8" s="483"/>
      <c r="I8" s="393">
        <f>SUM(I9:I15)</f>
        <v>2977530</v>
      </c>
      <c r="J8" s="393">
        <f t="shared" ref="J8:O8" si="0">SUM(J9:J15)</f>
        <v>450</v>
      </c>
      <c r="K8" s="393">
        <f t="shared" si="0"/>
        <v>450</v>
      </c>
      <c r="L8" s="393">
        <f t="shared" si="0"/>
        <v>0</v>
      </c>
      <c r="M8" s="393">
        <f t="shared" si="0"/>
        <v>85000</v>
      </c>
      <c r="N8" s="393"/>
      <c r="O8" s="393">
        <f t="shared" si="0"/>
        <v>2891630</v>
      </c>
      <c r="P8" s="440"/>
    </row>
    <row r="9" spans="1:16" ht="112.5" x14ac:dyDescent="0.4">
      <c r="A9" s="438">
        <v>1</v>
      </c>
      <c r="B9" s="437" t="s">
        <v>2435</v>
      </c>
      <c r="C9" s="439" t="s">
        <v>2436</v>
      </c>
      <c r="D9" s="484" t="s">
        <v>2437</v>
      </c>
      <c r="E9" s="485" t="s">
        <v>1173</v>
      </c>
      <c r="F9" s="435" t="s">
        <v>739</v>
      </c>
      <c r="G9" s="435" t="s">
        <v>1162</v>
      </c>
      <c r="H9" s="436" t="s">
        <v>2700</v>
      </c>
      <c r="I9" s="486">
        <v>20000</v>
      </c>
      <c r="J9" s="486">
        <v>0</v>
      </c>
      <c r="K9" s="486">
        <v>0</v>
      </c>
      <c r="L9" s="486">
        <v>0</v>
      </c>
      <c r="M9" s="486">
        <v>0</v>
      </c>
      <c r="N9" s="487" t="s">
        <v>1631</v>
      </c>
      <c r="O9" s="486">
        <f t="shared" ref="O9:O15" si="1">+I9-(SUM(J9:N9))</f>
        <v>20000</v>
      </c>
      <c r="P9" s="440"/>
    </row>
    <row r="10" spans="1:16" s="440" customFormat="1" ht="131.25" x14ac:dyDescent="0.2">
      <c r="A10" s="438">
        <v>2</v>
      </c>
      <c r="B10" s="437" t="s">
        <v>2528</v>
      </c>
      <c r="C10" s="439" t="s">
        <v>2529</v>
      </c>
      <c r="D10" s="484" t="s">
        <v>2530</v>
      </c>
      <c r="E10" s="485" t="s">
        <v>1185</v>
      </c>
      <c r="F10" s="435" t="s">
        <v>739</v>
      </c>
      <c r="G10" s="435" t="s">
        <v>2154</v>
      </c>
      <c r="H10" s="436" t="s">
        <v>2701</v>
      </c>
      <c r="I10" s="486">
        <v>785900</v>
      </c>
      <c r="J10" s="486">
        <v>0</v>
      </c>
      <c r="K10" s="486">
        <v>0</v>
      </c>
      <c r="L10" s="486">
        <v>0</v>
      </c>
      <c r="M10" s="486">
        <v>0</v>
      </c>
      <c r="N10" s="487" t="s">
        <v>2325</v>
      </c>
      <c r="O10" s="486">
        <f t="shared" si="1"/>
        <v>785900</v>
      </c>
    </row>
    <row r="11" spans="1:16" s="488" customFormat="1" ht="131.25" x14ac:dyDescent="0.2">
      <c r="A11" s="438">
        <v>3</v>
      </c>
      <c r="B11" s="437" t="s">
        <v>2528</v>
      </c>
      <c r="C11" s="439" t="s">
        <v>2529</v>
      </c>
      <c r="D11" s="484" t="s">
        <v>2530</v>
      </c>
      <c r="E11" s="485" t="s">
        <v>2155</v>
      </c>
      <c r="F11" s="435" t="s">
        <v>739</v>
      </c>
      <c r="G11" s="435" t="s">
        <v>2154</v>
      </c>
      <c r="H11" s="436" t="s">
        <v>2702</v>
      </c>
      <c r="I11" s="486">
        <v>312980</v>
      </c>
      <c r="J11" s="486">
        <v>0</v>
      </c>
      <c r="K11" s="486">
        <v>0</v>
      </c>
      <c r="L11" s="486">
        <v>0</v>
      </c>
      <c r="M11" s="486">
        <v>0</v>
      </c>
      <c r="N11" s="487" t="s">
        <v>2325</v>
      </c>
      <c r="O11" s="486">
        <f t="shared" si="1"/>
        <v>312980</v>
      </c>
      <c r="P11" s="440"/>
    </row>
    <row r="12" spans="1:16" ht="168.75" x14ac:dyDescent="0.4">
      <c r="A12" s="438">
        <v>4</v>
      </c>
      <c r="B12" s="437" t="s">
        <v>2703</v>
      </c>
      <c r="C12" s="439" t="s">
        <v>2704</v>
      </c>
      <c r="D12" s="484" t="s">
        <v>2705</v>
      </c>
      <c r="E12" s="485" t="s">
        <v>2155</v>
      </c>
      <c r="F12" s="435" t="s">
        <v>739</v>
      </c>
      <c r="G12" s="435" t="s">
        <v>2706</v>
      </c>
      <c r="H12" s="436" t="s">
        <v>2707</v>
      </c>
      <c r="I12" s="486">
        <v>9000</v>
      </c>
      <c r="J12" s="486">
        <v>450</v>
      </c>
      <c r="K12" s="486">
        <v>450</v>
      </c>
      <c r="L12" s="486">
        <v>0</v>
      </c>
      <c r="M12" s="486">
        <v>0</v>
      </c>
      <c r="N12" s="487"/>
      <c r="O12" s="486">
        <f t="shared" si="1"/>
        <v>8100</v>
      </c>
      <c r="P12" s="440"/>
    </row>
    <row r="13" spans="1:16" s="440" customFormat="1" ht="112.5" x14ac:dyDescent="0.2">
      <c r="A13" s="438">
        <v>5</v>
      </c>
      <c r="B13" s="437" t="s">
        <v>2703</v>
      </c>
      <c r="C13" s="439" t="s">
        <v>2708</v>
      </c>
      <c r="D13" s="484" t="s">
        <v>2709</v>
      </c>
      <c r="E13" s="485" t="s">
        <v>1185</v>
      </c>
      <c r="F13" s="435" t="s">
        <v>739</v>
      </c>
      <c r="G13" s="435" t="s">
        <v>1763</v>
      </c>
      <c r="H13" s="436" t="s">
        <v>2710</v>
      </c>
      <c r="I13" s="486">
        <v>85000</v>
      </c>
      <c r="J13" s="486">
        <v>0</v>
      </c>
      <c r="K13" s="486">
        <v>0</v>
      </c>
      <c r="L13" s="486">
        <v>0</v>
      </c>
      <c r="M13" s="486">
        <v>85000</v>
      </c>
      <c r="N13" s="487"/>
      <c r="O13" s="486">
        <f t="shared" si="1"/>
        <v>0</v>
      </c>
    </row>
    <row r="14" spans="1:16" s="440" customFormat="1" ht="131.25" x14ac:dyDescent="0.2">
      <c r="A14" s="438">
        <v>6</v>
      </c>
      <c r="B14" s="437" t="s">
        <v>2819</v>
      </c>
      <c r="C14" s="439" t="s">
        <v>2820</v>
      </c>
      <c r="D14" s="484" t="s">
        <v>2821</v>
      </c>
      <c r="E14" s="485" t="s">
        <v>1185</v>
      </c>
      <c r="F14" s="435" t="s">
        <v>739</v>
      </c>
      <c r="G14" s="435" t="s">
        <v>1763</v>
      </c>
      <c r="H14" s="436" t="s">
        <v>2822</v>
      </c>
      <c r="I14" s="486">
        <v>1023250</v>
      </c>
      <c r="J14" s="486">
        <v>0</v>
      </c>
      <c r="K14" s="486">
        <v>0</v>
      </c>
      <c r="L14" s="486">
        <v>0</v>
      </c>
      <c r="M14" s="486">
        <v>0</v>
      </c>
      <c r="N14" s="487" t="s">
        <v>1786</v>
      </c>
      <c r="O14" s="486">
        <f t="shared" si="1"/>
        <v>1023250</v>
      </c>
    </row>
    <row r="15" spans="1:16" s="440" customFormat="1" ht="131.25" x14ac:dyDescent="0.2">
      <c r="A15" s="438">
        <v>7</v>
      </c>
      <c r="B15" s="437" t="s">
        <v>2819</v>
      </c>
      <c r="C15" s="439" t="s">
        <v>2820</v>
      </c>
      <c r="D15" s="484" t="s">
        <v>2821</v>
      </c>
      <c r="E15" s="485" t="s">
        <v>2155</v>
      </c>
      <c r="F15" s="435" t="s">
        <v>739</v>
      </c>
      <c r="G15" s="435" t="s">
        <v>1763</v>
      </c>
      <c r="H15" s="436" t="s">
        <v>2823</v>
      </c>
      <c r="I15" s="486">
        <v>741400</v>
      </c>
      <c r="J15" s="486">
        <v>0</v>
      </c>
      <c r="K15" s="486">
        <v>0</v>
      </c>
      <c r="L15" s="486">
        <v>0</v>
      </c>
      <c r="M15" s="486">
        <v>0</v>
      </c>
      <c r="N15" s="487" t="s">
        <v>1786</v>
      </c>
      <c r="O15" s="486">
        <f t="shared" si="1"/>
        <v>741400</v>
      </c>
    </row>
    <row r="16" spans="1:16" s="440" customFormat="1" x14ac:dyDescent="0.2">
      <c r="A16" s="388" t="s">
        <v>360</v>
      </c>
      <c r="B16" s="389"/>
      <c r="C16" s="390"/>
      <c r="D16" s="482"/>
      <c r="E16" s="388"/>
      <c r="F16" s="391"/>
      <c r="G16" s="391"/>
      <c r="H16" s="392"/>
      <c r="I16" s="393">
        <f>SUM(I17:I25)</f>
        <v>1854502</v>
      </c>
      <c r="J16" s="393">
        <f t="shared" ref="J16:O16" si="2">SUM(J17:J25)</f>
        <v>44376</v>
      </c>
      <c r="K16" s="393">
        <f t="shared" si="2"/>
        <v>44376</v>
      </c>
      <c r="L16" s="393">
        <f t="shared" si="2"/>
        <v>63654.5</v>
      </c>
      <c r="M16" s="393">
        <f t="shared" si="2"/>
        <v>63654.5</v>
      </c>
      <c r="N16" s="393"/>
      <c r="O16" s="393">
        <f t="shared" si="2"/>
        <v>1638441</v>
      </c>
    </row>
    <row r="17" spans="1:15" s="440" customFormat="1" ht="150" x14ac:dyDescent="0.2">
      <c r="A17" s="438">
        <v>1</v>
      </c>
      <c r="B17" s="437" t="s">
        <v>2438</v>
      </c>
      <c r="C17" s="439" t="s">
        <v>2439</v>
      </c>
      <c r="D17" s="484" t="s">
        <v>2440</v>
      </c>
      <c r="E17" s="485" t="s">
        <v>2276</v>
      </c>
      <c r="F17" s="435" t="s">
        <v>360</v>
      </c>
      <c r="G17" s="435" t="s">
        <v>336</v>
      </c>
      <c r="H17" s="436" t="s">
        <v>2716</v>
      </c>
      <c r="I17" s="486">
        <v>490200</v>
      </c>
      <c r="J17" s="486">
        <v>0</v>
      </c>
      <c r="K17" s="486">
        <v>0</v>
      </c>
      <c r="L17" s="486">
        <v>39216</v>
      </c>
      <c r="M17" s="486">
        <v>39216</v>
      </c>
      <c r="N17" s="489"/>
      <c r="O17" s="486">
        <f t="shared" ref="O17:O25" si="3">+I17-(SUM(J17:N17))</f>
        <v>411768</v>
      </c>
    </row>
    <row r="18" spans="1:15" s="440" customFormat="1" ht="262.5" x14ac:dyDescent="0.2">
      <c r="A18" s="438">
        <v>2</v>
      </c>
      <c r="B18" s="437" t="s">
        <v>2511</v>
      </c>
      <c r="C18" s="439" t="s">
        <v>2512</v>
      </c>
      <c r="D18" s="484" t="s">
        <v>2513</v>
      </c>
      <c r="E18" s="485" t="s">
        <v>2514</v>
      </c>
      <c r="F18" s="435" t="s">
        <v>360</v>
      </c>
      <c r="G18" s="435" t="s">
        <v>2310</v>
      </c>
      <c r="H18" s="436" t="s">
        <v>2717</v>
      </c>
      <c r="I18" s="486">
        <v>15877</v>
      </c>
      <c r="J18" s="486">
        <v>0</v>
      </c>
      <c r="K18" s="486">
        <v>0</v>
      </c>
      <c r="L18" s="486">
        <v>7938.5</v>
      </c>
      <c r="M18" s="486">
        <v>7938.5</v>
      </c>
      <c r="N18" s="489"/>
      <c r="O18" s="486">
        <f t="shared" si="3"/>
        <v>0</v>
      </c>
    </row>
    <row r="19" spans="1:15" s="440" customFormat="1" ht="131.25" x14ac:dyDescent="0.2">
      <c r="A19" s="438">
        <v>3</v>
      </c>
      <c r="B19" s="437" t="s">
        <v>2531</v>
      </c>
      <c r="C19" s="439" t="s">
        <v>2532</v>
      </c>
      <c r="D19" s="484" t="s">
        <v>2533</v>
      </c>
      <c r="E19" s="485" t="s">
        <v>2534</v>
      </c>
      <c r="F19" s="435" t="s">
        <v>360</v>
      </c>
      <c r="G19" s="435" t="s">
        <v>2535</v>
      </c>
      <c r="H19" s="436" t="s">
        <v>2718</v>
      </c>
      <c r="I19" s="486">
        <v>203490</v>
      </c>
      <c r="J19" s="486">
        <v>0</v>
      </c>
      <c r="K19" s="486">
        <v>0</v>
      </c>
      <c r="L19" s="486">
        <v>0</v>
      </c>
      <c r="M19" s="486">
        <v>0</v>
      </c>
      <c r="N19" s="487" t="s">
        <v>1786</v>
      </c>
      <c r="O19" s="486">
        <f t="shared" si="3"/>
        <v>203490</v>
      </c>
    </row>
    <row r="20" spans="1:15" s="440" customFormat="1" ht="150" x14ac:dyDescent="0.2">
      <c r="A20" s="438">
        <v>4</v>
      </c>
      <c r="B20" s="437" t="s">
        <v>2536</v>
      </c>
      <c r="C20" s="439" t="s">
        <v>2537</v>
      </c>
      <c r="D20" s="484" t="s">
        <v>2538</v>
      </c>
      <c r="E20" s="485" t="s">
        <v>2276</v>
      </c>
      <c r="F20" s="435" t="s">
        <v>360</v>
      </c>
      <c r="G20" s="435" t="s">
        <v>336</v>
      </c>
      <c r="H20" s="436" t="s">
        <v>2719</v>
      </c>
      <c r="I20" s="486">
        <v>367650</v>
      </c>
      <c r="J20" s="486">
        <v>29412</v>
      </c>
      <c r="K20" s="486">
        <v>29412</v>
      </c>
      <c r="L20" s="486">
        <v>0</v>
      </c>
      <c r="M20" s="486">
        <v>0</v>
      </c>
      <c r="N20" s="489"/>
      <c r="O20" s="486">
        <f t="shared" si="3"/>
        <v>308826</v>
      </c>
    </row>
    <row r="21" spans="1:15" s="440" customFormat="1" ht="168.75" x14ac:dyDescent="0.2">
      <c r="A21" s="438">
        <v>5</v>
      </c>
      <c r="B21" s="437" t="s">
        <v>2539</v>
      </c>
      <c r="C21" s="439" t="s">
        <v>2660</v>
      </c>
      <c r="D21" s="484" t="s">
        <v>2540</v>
      </c>
      <c r="E21" s="485" t="s">
        <v>2276</v>
      </c>
      <c r="F21" s="435" t="s">
        <v>360</v>
      </c>
      <c r="G21" s="435" t="s">
        <v>336</v>
      </c>
      <c r="H21" s="436" t="s">
        <v>2720</v>
      </c>
      <c r="I21" s="486">
        <v>187050</v>
      </c>
      <c r="J21" s="486">
        <v>14964</v>
      </c>
      <c r="K21" s="486">
        <v>14964</v>
      </c>
      <c r="L21" s="486">
        <v>0</v>
      </c>
      <c r="M21" s="486">
        <v>0</v>
      </c>
      <c r="N21" s="489"/>
      <c r="O21" s="486">
        <f t="shared" si="3"/>
        <v>157122</v>
      </c>
    </row>
    <row r="22" spans="1:15" s="440" customFormat="1" ht="150" x14ac:dyDescent="0.2">
      <c r="A22" s="438">
        <v>6</v>
      </c>
      <c r="B22" s="437" t="s">
        <v>2580</v>
      </c>
      <c r="C22" s="439" t="s">
        <v>2581</v>
      </c>
      <c r="D22" s="484" t="s">
        <v>2582</v>
      </c>
      <c r="E22" s="485" t="s">
        <v>2583</v>
      </c>
      <c r="F22" s="435" t="s">
        <v>360</v>
      </c>
      <c r="G22" s="435" t="s">
        <v>1144</v>
      </c>
      <c r="H22" s="436" t="s">
        <v>2721</v>
      </c>
      <c r="I22" s="486">
        <v>142500</v>
      </c>
      <c r="J22" s="486">
        <v>0</v>
      </c>
      <c r="K22" s="486">
        <v>0</v>
      </c>
      <c r="L22" s="486">
        <v>7125</v>
      </c>
      <c r="M22" s="486">
        <v>7125</v>
      </c>
      <c r="N22" s="489"/>
      <c r="O22" s="486">
        <f t="shared" si="3"/>
        <v>128250</v>
      </c>
    </row>
    <row r="23" spans="1:15" s="440" customFormat="1" ht="131.25" x14ac:dyDescent="0.2">
      <c r="A23" s="438">
        <v>7</v>
      </c>
      <c r="B23" s="437" t="s">
        <v>2688</v>
      </c>
      <c r="C23" s="439" t="s">
        <v>2689</v>
      </c>
      <c r="D23" s="484" t="s">
        <v>2690</v>
      </c>
      <c r="E23" s="485" t="s">
        <v>2534</v>
      </c>
      <c r="F23" s="435" t="s">
        <v>360</v>
      </c>
      <c r="G23" s="435" t="s">
        <v>2535</v>
      </c>
      <c r="H23" s="436" t="s">
        <v>2722</v>
      </c>
      <c r="I23" s="486">
        <v>203490</v>
      </c>
      <c r="J23" s="486">
        <v>0</v>
      </c>
      <c r="K23" s="486">
        <v>0</v>
      </c>
      <c r="L23" s="486">
        <v>0</v>
      </c>
      <c r="M23" s="486">
        <v>0</v>
      </c>
      <c r="N23" s="487" t="s">
        <v>1786</v>
      </c>
      <c r="O23" s="486">
        <f t="shared" si="3"/>
        <v>203490</v>
      </c>
    </row>
    <row r="24" spans="1:15" s="440" customFormat="1" ht="131.25" x14ac:dyDescent="0.2">
      <c r="A24" s="438">
        <v>8</v>
      </c>
      <c r="B24" s="437" t="s">
        <v>2824</v>
      </c>
      <c r="C24" s="439" t="s">
        <v>2825</v>
      </c>
      <c r="D24" s="484" t="s">
        <v>2826</v>
      </c>
      <c r="E24" s="485" t="s">
        <v>2534</v>
      </c>
      <c r="F24" s="435" t="s">
        <v>360</v>
      </c>
      <c r="G24" s="435" t="s">
        <v>2535</v>
      </c>
      <c r="H24" s="436" t="s">
        <v>2827</v>
      </c>
      <c r="I24" s="486">
        <v>101745</v>
      </c>
      <c r="J24" s="486">
        <v>0</v>
      </c>
      <c r="K24" s="486">
        <v>0</v>
      </c>
      <c r="L24" s="486">
        <v>2250</v>
      </c>
      <c r="M24" s="486">
        <v>2250</v>
      </c>
      <c r="N24" s="487"/>
      <c r="O24" s="486">
        <f t="shared" si="3"/>
        <v>97245</v>
      </c>
    </row>
    <row r="25" spans="1:15" s="440" customFormat="1" ht="150" x14ac:dyDescent="0.2">
      <c r="A25" s="438">
        <v>9</v>
      </c>
      <c r="B25" s="437" t="s">
        <v>2828</v>
      </c>
      <c r="C25" s="439" t="s">
        <v>2829</v>
      </c>
      <c r="D25" s="484" t="s">
        <v>2830</v>
      </c>
      <c r="E25" s="485" t="s">
        <v>2583</v>
      </c>
      <c r="F25" s="435" t="s">
        <v>360</v>
      </c>
      <c r="G25" s="435" t="s">
        <v>1144</v>
      </c>
      <c r="H25" s="436" t="s">
        <v>2831</v>
      </c>
      <c r="I25" s="486">
        <v>142500</v>
      </c>
      <c r="J25" s="486"/>
      <c r="K25" s="486"/>
      <c r="L25" s="486">
        <v>7125</v>
      </c>
      <c r="M25" s="486">
        <v>7125</v>
      </c>
      <c r="N25" s="487"/>
      <c r="O25" s="486">
        <f t="shared" si="3"/>
        <v>128250</v>
      </c>
    </row>
    <row r="26" spans="1:15" s="440" customFormat="1" x14ac:dyDescent="0.2">
      <c r="A26" s="388" t="s">
        <v>2126</v>
      </c>
      <c r="B26" s="389"/>
      <c r="C26" s="390"/>
      <c r="D26" s="482"/>
      <c r="E26" s="388"/>
      <c r="F26" s="391"/>
      <c r="G26" s="391"/>
      <c r="H26" s="392"/>
      <c r="I26" s="393">
        <f>SUM(I27:I29)</f>
        <v>427500</v>
      </c>
      <c r="J26" s="393">
        <f t="shared" ref="J26:O26" si="4">SUM(J27:J29)</f>
        <v>0</v>
      </c>
      <c r="K26" s="393">
        <f t="shared" si="4"/>
        <v>0</v>
      </c>
      <c r="L26" s="393">
        <f t="shared" si="4"/>
        <v>21375</v>
      </c>
      <c r="M26" s="393">
        <f t="shared" si="4"/>
        <v>21375</v>
      </c>
      <c r="N26" s="393"/>
      <c r="O26" s="393">
        <f t="shared" si="4"/>
        <v>384750</v>
      </c>
    </row>
    <row r="27" spans="1:15" s="440" customFormat="1" ht="168.75" x14ac:dyDescent="0.2">
      <c r="A27" s="438">
        <v>1</v>
      </c>
      <c r="B27" s="437" t="s">
        <v>2438</v>
      </c>
      <c r="C27" s="439" t="s">
        <v>2441</v>
      </c>
      <c r="D27" s="484" t="s">
        <v>2442</v>
      </c>
      <c r="E27" s="485" t="s">
        <v>2147</v>
      </c>
      <c r="F27" s="435" t="s">
        <v>2126</v>
      </c>
      <c r="G27" s="435" t="s">
        <v>1198</v>
      </c>
      <c r="H27" s="436" t="s">
        <v>2723</v>
      </c>
      <c r="I27" s="486">
        <v>171000</v>
      </c>
      <c r="J27" s="486">
        <v>0</v>
      </c>
      <c r="K27" s="486">
        <v>0</v>
      </c>
      <c r="L27" s="486">
        <v>8550</v>
      </c>
      <c r="M27" s="486">
        <v>8550</v>
      </c>
      <c r="N27" s="489"/>
      <c r="O27" s="486">
        <f>+I27-(SUM(J27:N27))</f>
        <v>153900</v>
      </c>
    </row>
    <row r="28" spans="1:15" s="440" customFormat="1" ht="150" x14ac:dyDescent="0.2">
      <c r="A28" s="438">
        <v>2</v>
      </c>
      <c r="B28" s="437" t="s">
        <v>2607</v>
      </c>
      <c r="C28" s="439" t="s">
        <v>2608</v>
      </c>
      <c r="D28" s="484" t="s">
        <v>2609</v>
      </c>
      <c r="E28" s="485" t="s">
        <v>2610</v>
      </c>
      <c r="F28" s="435" t="s">
        <v>2126</v>
      </c>
      <c r="G28" s="435" t="s">
        <v>1144</v>
      </c>
      <c r="H28" s="436" t="s">
        <v>2724</v>
      </c>
      <c r="I28" s="486">
        <v>142500</v>
      </c>
      <c r="J28" s="486">
        <v>0</v>
      </c>
      <c r="K28" s="486">
        <v>0</v>
      </c>
      <c r="L28" s="486">
        <v>7125</v>
      </c>
      <c r="M28" s="486">
        <v>7125</v>
      </c>
      <c r="N28" s="487"/>
      <c r="O28" s="486">
        <f>+I28-(SUM(J28:N28))</f>
        <v>128250</v>
      </c>
    </row>
    <row r="29" spans="1:15" s="440" customFormat="1" ht="168.75" x14ac:dyDescent="0.2">
      <c r="A29" s="438">
        <v>3</v>
      </c>
      <c r="B29" s="437" t="s">
        <v>2691</v>
      </c>
      <c r="C29" s="439" t="s">
        <v>2692</v>
      </c>
      <c r="D29" s="484" t="s">
        <v>2693</v>
      </c>
      <c r="E29" s="485" t="s">
        <v>2147</v>
      </c>
      <c r="F29" s="435" t="s">
        <v>2126</v>
      </c>
      <c r="G29" s="435" t="s">
        <v>1198</v>
      </c>
      <c r="H29" s="436" t="s">
        <v>2725</v>
      </c>
      <c r="I29" s="486">
        <v>114000</v>
      </c>
      <c r="J29" s="486">
        <v>0</v>
      </c>
      <c r="K29" s="486">
        <v>0</v>
      </c>
      <c r="L29" s="486">
        <v>5700</v>
      </c>
      <c r="M29" s="486">
        <v>5700</v>
      </c>
      <c r="N29" s="487"/>
      <c r="O29" s="486">
        <f>+I29-(SUM(J29:N29))</f>
        <v>102600</v>
      </c>
    </row>
    <row r="30" spans="1:15" s="440" customFormat="1" x14ac:dyDescent="0.2">
      <c r="A30" s="388" t="s">
        <v>161</v>
      </c>
      <c r="B30" s="389"/>
      <c r="C30" s="390"/>
      <c r="D30" s="482"/>
      <c r="E30" s="388"/>
      <c r="F30" s="391"/>
      <c r="G30" s="391"/>
      <c r="H30" s="392"/>
      <c r="I30" s="393">
        <f>SUM(I31:I54)</f>
        <v>6477213</v>
      </c>
      <c r="J30" s="393">
        <f t="shared" ref="J30:O30" si="5">SUM(J31:J54)</f>
        <v>171800</v>
      </c>
      <c r="K30" s="393">
        <f t="shared" si="5"/>
        <v>171800</v>
      </c>
      <c r="L30" s="393">
        <f t="shared" si="5"/>
        <v>111406</v>
      </c>
      <c r="M30" s="393">
        <f t="shared" si="5"/>
        <v>196406</v>
      </c>
      <c r="N30" s="393"/>
      <c r="O30" s="393">
        <f t="shared" si="5"/>
        <v>5825801</v>
      </c>
    </row>
    <row r="31" spans="1:15" s="440" customFormat="1" ht="168.75" x14ac:dyDescent="0.2">
      <c r="A31" s="438">
        <v>1</v>
      </c>
      <c r="B31" s="437" t="s">
        <v>2443</v>
      </c>
      <c r="C31" s="439" t="s">
        <v>2444</v>
      </c>
      <c r="D31" s="484" t="s">
        <v>2445</v>
      </c>
      <c r="E31" s="485" t="s">
        <v>2446</v>
      </c>
      <c r="F31" s="435" t="s">
        <v>161</v>
      </c>
      <c r="G31" s="435" t="s">
        <v>1897</v>
      </c>
      <c r="H31" s="436" t="s">
        <v>2727</v>
      </c>
      <c r="I31" s="486">
        <v>50000</v>
      </c>
      <c r="J31" s="486">
        <v>0</v>
      </c>
      <c r="K31" s="486">
        <v>0</v>
      </c>
      <c r="L31" s="486">
        <v>25000</v>
      </c>
      <c r="M31" s="486">
        <v>25000</v>
      </c>
      <c r="N31" s="487"/>
      <c r="O31" s="486">
        <f t="shared" ref="O31:O54" si="6">+I31-(SUM(J31:N31))</f>
        <v>0</v>
      </c>
    </row>
    <row r="32" spans="1:15" s="440" customFormat="1" ht="93.75" x14ac:dyDescent="0.2">
      <c r="A32" s="438">
        <v>2</v>
      </c>
      <c r="B32" s="437" t="s">
        <v>2468</v>
      </c>
      <c r="C32" s="439" t="s">
        <v>2469</v>
      </c>
      <c r="D32" s="484" t="s">
        <v>2470</v>
      </c>
      <c r="E32" s="485" t="s">
        <v>1810</v>
      </c>
      <c r="F32" s="435" t="s">
        <v>161</v>
      </c>
      <c r="G32" s="435" t="s">
        <v>1198</v>
      </c>
      <c r="H32" s="436" t="s">
        <v>2728</v>
      </c>
      <c r="I32" s="486">
        <v>304000</v>
      </c>
      <c r="J32" s="486">
        <v>0</v>
      </c>
      <c r="K32" s="486">
        <v>0</v>
      </c>
      <c r="L32" s="486">
        <v>15200</v>
      </c>
      <c r="M32" s="486">
        <v>15200</v>
      </c>
      <c r="N32" s="489"/>
      <c r="O32" s="486">
        <f t="shared" si="6"/>
        <v>273600</v>
      </c>
    </row>
    <row r="33" spans="1:15" s="440" customFormat="1" ht="131.25" x14ac:dyDescent="0.2">
      <c r="A33" s="438">
        <v>3</v>
      </c>
      <c r="B33" s="437" t="s">
        <v>2471</v>
      </c>
      <c r="C33" s="439" t="s">
        <v>2472</v>
      </c>
      <c r="D33" s="484" t="s">
        <v>2473</v>
      </c>
      <c r="E33" s="485" t="s">
        <v>914</v>
      </c>
      <c r="F33" s="435" t="s">
        <v>161</v>
      </c>
      <c r="G33" s="435" t="s">
        <v>2474</v>
      </c>
      <c r="H33" s="436" t="s">
        <v>2729</v>
      </c>
      <c r="I33" s="486">
        <v>49000</v>
      </c>
      <c r="J33" s="486">
        <v>2450</v>
      </c>
      <c r="K33" s="486">
        <v>2450</v>
      </c>
      <c r="L33" s="486">
        <v>0</v>
      </c>
      <c r="M33" s="486">
        <v>0</v>
      </c>
      <c r="N33" s="489"/>
      <c r="O33" s="486">
        <f t="shared" si="6"/>
        <v>44100</v>
      </c>
    </row>
    <row r="34" spans="1:15" s="440" customFormat="1" ht="168.75" x14ac:dyDescent="0.2">
      <c r="A34" s="438">
        <v>4</v>
      </c>
      <c r="B34" s="437" t="s">
        <v>2528</v>
      </c>
      <c r="C34" s="439" t="s">
        <v>2529</v>
      </c>
      <c r="D34" s="484" t="s">
        <v>2530</v>
      </c>
      <c r="E34" s="485" t="s">
        <v>1810</v>
      </c>
      <c r="F34" s="435" t="s">
        <v>161</v>
      </c>
      <c r="G34" s="435" t="s">
        <v>2154</v>
      </c>
      <c r="H34" s="436" t="s">
        <v>2730</v>
      </c>
      <c r="I34" s="486">
        <v>615000</v>
      </c>
      <c r="J34" s="486">
        <v>0</v>
      </c>
      <c r="K34" s="486">
        <v>0</v>
      </c>
      <c r="L34" s="486">
        <v>0</v>
      </c>
      <c r="M34" s="486">
        <v>0</v>
      </c>
      <c r="N34" s="487" t="s">
        <v>1786</v>
      </c>
      <c r="O34" s="486">
        <f t="shared" si="6"/>
        <v>615000</v>
      </c>
    </row>
    <row r="35" spans="1:15" s="440" customFormat="1" ht="131.25" x14ac:dyDescent="0.2">
      <c r="A35" s="438">
        <v>5</v>
      </c>
      <c r="B35" s="437" t="s">
        <v>2528</v>
      </c>
      <c r="C35" s="439" t="s">
        <v>2529</v>
      </c>
      <c r="D35" s="484" t="s">
        <v>2530</v>
      </c>
      <c r="E35" s="485" t="s">
        <v>2165</v>
      </c>
      <c r="F35" s="435" t="s">
        <v>161</v>
      </c>
      <c r="G35" s="435" t="s">
        <v>2154</v>
      </c>
      <c r="H35" s="436" t="s">
        <v>2731</v>
      </c>
      <c r="I35" s="486">
        <v>369450</v>
      </c>
      <c r="J35" s="486">
        <v>0</v>
      </c>
      <c r="K35" s="486">
        <v>0</v>
      </c>
      <c r="L35" s="486">
        <v>0</v>
      </c>
      <c r="M35" s="486">
        <v>0</v>
      </c>
      <c r="N35" s="487" t="s">
        <v>1786</v>
      </c>
      <c r="O35" s="486">
        <f t="shared" si="6"/>
        <v>369450</v>
      </c>
    </row>
    <row r="36" spans="1:15" s="440" customFormat="1" ht="112.5" x14ac:dyDescent="0.2">
      <c r="A36" s="438">
        <v>6</v>
      </c>
      <c r="B36" s="437" t="s">
        <v>2536</v>
      </c>
      <c r="C36" s="439" t="s">
        <v>2542</v>
      </c>
      <c r="D36" s="484" t="s">
        <v>2543</v>
      </c>
      <c r="E36" s="485" t="s">
        <v>2165</v>
      </c>
      <c r="F36" s="435" t="s">
        <v>161</v>
      </c>
      <c r="G36" s="435" t="s">
        <v>1198</v>
      </c>
      <c r="H36" s="436" t="s">
        <v>2732</v>
      </c>
      <c r="I36" s="486">
        <v>85500</v>
      </c>
      <c r="J36" s="486">
        <v>4275</v>
      </c>
      <c r="K36" s="486">
        <v>4275</v>
      </c>
      <c r="L36" s="486">
        <v>0</v>
      </c>
      <c r="M36" s="486">
        <v>0</v>
      </c>
      <c r="N36" s="489"/>
      <c r="O36" s="486">
        <f t="shared" si="6"/>
        <v>76950</v>
      </c>
    </row>
    <row r="37" spans="1:15" s="440" customFormat="1" ht="93.75" x14ac:dyDescent="0.2">
      <c r="A37" s="438">
        <v>7</v>
      </c>
      <c r="B37" s="437" t="s">
        <v>2556</v>
      </c>
      <c r="C37" s="439" t="s">
        <v>2557</v>
      </c>
      <c r="D37" s="484" t="s">
        <v>2558</v>
      </c>
      <c r="E37" s="485" t="s">
        <v>1810</v>
      </c>
      <c r="F37" s="435" t="s">
        <v>161</v>
      </c>
      <c r="G37" s="435" t="s">
        <v>1198</v>
      </c>
      <c r="H37" s="436" t="s">
        <v>2733</v>
      </c>
      <c r="I37" s="486">
        <v>304000</v>
      </c>
      <c r="J37" s="486">
        <v>0</v>
      </c>
      <c r="K37" s="486">
        <v>0</v>
      </c>
      <c r="L37" s="486">
        <v>13563.5</v>
      </c>
      <c r="M37" s="486">
        <v>13563.5</v>
      </c>
      <c r="N37" s="489"/>
      <c r="O37" s="486">
        <f t="shared" si="6"/>
        <v>276873</v>
      </c>
    </row>
    <row r="38" spans="1:15" s="440" customFormat="1" ht="112.5" x14ac:dyDescent="0.2">
      <c r="A38" s="438">
        <v>8</v>
      </c>
      <c r="B38" s="437" t="s">
        <v>2584</v>
      </c>
      <c r="C38" s="439" t="s">
        <v>2585</v>
      </c>
      <c r="D38" s="484" t="s">
        <v>2586</v>
      </c>
      <c r="E38" s="485" t="s">
        <v>914</v>
      </c>
      <c r="F38" s="435" t="s">
        <v>161</v>
      </c>
      <c r="G38" s="435" t="s">
        <v>2587</v>
      </c>
      <c r="H38" s="436" t="s">
        <v>2734</v>
      </c>
      <c r="I38" s="486">
        <v>500000</v>
      </c>
      <c r="J38" s="486">
        <v>40000</v>
      </c>
      <c r="K38" s="486">
        <v>40000</v>
      </c>
      <c r="L38" s="486">
        <v>0</v>
      </c>
      <c r="M38" s="486">
        <v>0</v>
      </c>
      <c r="N38" s="489"/>
      <c r="O38" s="486">
        <f t="shared" si="6"/>
        <v>420000</v>
      </c>
    </row>
    <row r="39" spans="1:15" s="440" customFormat="1" ht="131.25" x14ac:dyDescent="0.2">
      <c r="A39" s="438">
        <v>9</v>
      </c>
      <c r="B39" s="437" t="s">
        <v>2580</v>
      </c>
      <c r="C39" s="439" t="s">
        <v>2588</v>
      </c>
      <c r="D39" s="484" t="s">
        <v>2589</v>
      </c>
      <c r="E39" s="485" t="s">
        <v>2590</v>
      </c>
      <c r="F39" s="435" t="s">
        <v>161</v>
      </c>
      <c r="G39" s="435" t="s">
        <v>1144</v>
      </c>
      <c r="H39" s="436" t="s">
        <v>2735</v>
      </c>
      <c r="I39" s="486">
        <v>142500</v>
      </c>
      <c r="J39" s="486"/>
      <c r="K39" s="486"/>
      <c r="L39" s="486">
        <v>7125</v>
      </c>
      <c r="M39" s="486">
        <v>7125</v>
      </c>
      <c r="N39" s="489"/>
      <c r="O39" s="486">
        <f t="shared" si="6"/>
        <v>128250</v>
      </c>
    </row>
    <row r="40" spans="1:15" s="440" customFormat="1" ht="187.5" x14ac:dyDescent="0.2">
      <c r="A40" s="438">
        <v>10</v>
      </c>
      <c r="B40" s="437" t="s">
        <v>2591</v>
      </c>
      <c r="C40" s="439" t="s">
        <v>2592</v>
      </c>
      <c r="D40" s="484" t="s">
        <v>2593</v>
      </c>
      <c r="E40" s="485" t="s">
        <v>1789</v>
      </c>
      <c r="F40" s="435" t="s">
        <v>161</v>
      </c>
      <c r="G40" s="435" t="s">
        <v>930</v>
      </c>
      <c r="H40" s="436" t="s">
        <v>2736</v>
      </c>
      <c r="I40" s="486">
        <v>205428</v>
      </c>
      <c r="J40" s="486">
        <v>87500</v>
      </c>
      <c r="K40" s="486">
        <v>87500</v>
      </c>
      <c r="L40" s="486">
        <v>0</v>
      </c>
      <c r="M40" s="486">
        <v>0</v>
      </c>
      <c r="N40" s="489"/>
      <c r="O40" s="486">
        <f t="shared" si="6"/>
        <v>30428</v>
      </c>
    </row>
    <row r="41" spans="1:15" s="440" customFormat="1" ht="168.75" x14ac:dyDescent="0.2">
      <c r="A41" s="438">
        <v>11</v>
      </c>
      <c r="B41" s="437" t="s">
        <v>2591</v>
      </c>
      <c r="C41" s="439" t="s">
        <v>2592</v>
      </c>
      <c r="D41" s="484" t="s">
        <v>2593</v>
      </c>
      <c r="E41" s="485" t="s">
        <v>1790</v>
      </c>
      <c r="F41" s="435" t="s">
        <v>161</v>
      </c>
      <c r="G41" s="435" t="s">
        <v>930</v>
      </c>
      <c r="H41" s="436" t="s">
        <v>2737</v>
      </c>
      <c r="I41" s="486">
        <v>136959</v>
      </c>
      <c r="J41" s="486">
        <v>0</v>
      </c>
      <c r="K41" s="486">
        <v>0</v>
      </c>
      <c r="L41" s="486">
        <v>0</v>
      </c>
      <c r="M41" s="486">
        <v>0</v>
      </c>
      <c r="N41" s="487" t="s">
        <v>1631</v>
      </c>
      <c r="O41" s="486">
        <f t="shared" si="6"/>
        <v>136959</v>
      </c>
    </row>
    <row r="42" spans="1:15" s="440" customFormat="1" ht="112.5" x14ac:dyDescent="0.2">
      <c r="A42" s="438">
        <v>12</v>
      </c>
      <c r="B42" s="437" t="s">
        <v>2611</v>
      </c>
      <c r="C42" s="439" t="s">
        <v>2612</v>
      </c>
      <c r="D42" s="484" t="s">
        <v>2613</v>
      </c>
      <c r="E42" s="485" t="s">
        <v>2165</v>
      </c>
      <c r="F42" s="435" t="s">
        <v>161</v>
      </c>
      <c r="G42" s="435" t="s">
        <v>1198</v>
      </c>
      <c r="H42" s="436" t="s">
        <v>2738</v>
      </c>
      <c r="I42" s="486">
        <v>85500</v>
      </c>
      <c r="J42" s="486">
        <v>0</v>
      </c>
      <c r="K42" s="486">
        <v>0</v>
      </c>
      <c r="L42" s="486">
        <v>3350</v>
      </c>
      <c r="M42" s="486">
        <v>3350</v>
      </c>
      <c r="N42" s="487"/>
      <c r="O42" s="486">
        <f t="shared" si="6"/>
        <v>78800</v>
      </c>
    </row>
    <row r="43" spans="1:15" s="440" customFormat="1" ht="168.75" x14ac:dyDescent="0.2">
      <c r="A43" s="438">
        <v>13</v>
      </c>
      <c r="B43" s="437" t="s">
        <v>2614</v>
      </c>
      <c r="C43" s="439" t="s">
        <v>2615</v>
      </c>
      <c r="D43" s="484" t="s">
        <v>2616</v>
      </c>
      <c r="E43" s="485" t="s">
        <v>2617</v>
      </c>
      <c r="F43" s="435" t="s">
        <v>161</v>
      </c>
      <c r="G43" s="435" t="s">
        <v>1198</v>
      </c>
      <c r="H43" s="436" t="s">
        <v>2739</v>
      </c>
      <c r="I43" s="486">
        <v>132525</v>
      </c>
      <c r="J43" s="486">
        <v>0</v>
      </c>
      <c r="K43" s="486">
        <v>0</v>
      </c>
      <c r="L43" s="486">
        <v>6626.25</v>
      </c>
      <c r="M43" s="486">
        <v>6626.25</v>
      </c>
      <c r="N43" s="487"/>
      <c r="O43" s="486">
        <f t="shared" si="6"/>
        <v>119272.5</v>
      </c>
    </row>
    <row r="44" spans="1:15" s="440" customFormat="1" ht="131.25" x14ac:dyDescent="0.2">
      <c r="A44" s="438">
        <v>14</v>
      </c>
      <c r="B44" s="437" t="s">
        <v>2607</v>
      </c>
      <c r="C44" s="439" t="s">
        <v>2618</v>
      </c>
      <c r="D44" s="484" t="s">
        <v>2619</v>
      </c>
      <c r="E44" s="485" t="s">
        <v>957</v>
      </c>
      <c r="F44" s="435" t="s">
        <v>161</v>
      </c>
      <c r="G44" s="435" t="s">
        <v>1198</v>
      </c>
      <c r="H44" s="436" t="s">
        <v>2740</v>
      </c>
      <c r="I44" s="486">
        <v>171000</v>
      </c>
      <c r="J44" s="486">
        <v>0</v>
      </c>
      <c r="K44" s="486">
        <v>0</v>
      </c>
      <c r="L44" s="486">
        <v>8550</v>
      </c>
      <c r="M44" s="486">
        <v>8550</v>
      </c>
      <c r="N44" s="487"/>
      <c r="O44" s="486">
        <f t="shared" si="6"/>
        <v>153900</v>
      </c>
    </row>
    <row r="45" spans="1:15" s="440" customFormat="1" ht="112.5" x14ac:dyDescent="0.2">
      <c r="A45" s="438">
        <v>15</v>
      </c>
      <c r="B45" s="437">
        <v>243741</v>
      </c>
      <c r="C45" s="439" t="s">
        <v>2638</v>
      </c>
      <c r="D45" s="484" t="s">
        <v>2639</v>
      </c>
      <c r="E45" s="485" t="s">
        <v>2165</v>
      </c>
      <c r="F45" s="435" t="s">
        <v>161</v>
      </c>
      <c r="G45" s="435" t="s">
        <v>1198</v>
      </c>
      <c r="H45" s="436" t="s">
        <v>2741</v>
      </c>
      <c r="I45" s="486">
        <v>22500</v>
      </c>
      <c r="J45" s="486">
        <v>0</v>
      </c>
      <c r="K45" s="486">
        <v>0</v>
      </c>
      <c r="L45" s="486">
        <v>0</v>
      </c>
      <c r="M45" s="486">
        <v>0</v>
      </c>
      <c r="N45" s="487" t="s">
        <v>1631</v>
      </c>
      <c r="O45" s="486">
        <f t="shared" si="6"/>
        <v>22500</v>
      </c>
    </row>
    <row r="46" spans="1:15" s="440" customFormat="1" ht="150" x14ac:dyDescent="0.2">
      <c r="A46" s="438">
        <v>16</v>
      </c>
      <c r="B46" s="437">
        <v>243774</v>
      </c>
      <c r="C46" s="439" t="s">
        <v>2661</v>
      </c>
      <c r="D46" s="484" t="s">
        <v>2662</v>
      </c>
      <c r="E46" s="485" t="s">
        <v>914</v>
      </c>
      <c r="F46" s="435" t="s">
        <v>161</v>
      </c>
      <c r="G46" s="435" t="s">
        <v>1039</v>
      </c>
      <c r="H46" s="436" t="s">
        <v>2726</v>
      </c>
      <c r="I46" s="486">
        <v>47500</v>
      </c>
      <c r="J46" s="486">
        <v>2375</v>
      </c>
      <c r="K46" s="486">
        <v>2375</v>
      </c>
      <c r="L46" s="486">
        <v>0</v>
      </c>
      <c r="M46" s="486">
        <v>0</v>
      </c>
      <c r="N46" s="487"/>
      <c r="O46" s="486">
        <f t="shared" si="6"/>
        <v>42750</v>
      </c>
    </row>
    <row r="47" spans="1:15" s="440" customFormat="1" ht="112.5" x14ac:dyDescent="0.2">
      <c r="A47" s="438">
        <v>17</v>
      </c>
      <c r="B47" s="437" t="s">
        <v>2694</v>
      </c>
      <c r="C47" s="439" t="s">
        <v>2695</v>
      </c>
      <c r="D47" s="484" t="s">
        <v>2696</v>
      </c>
      <c r="E47" s="485" t="s">
        <v>914</v>
      </c>
      <c r="F47" s="435" t="s">
        <v>161</v>
      </c>
      <c r="G47" s="435" t="s">
        <v>2587</v>
      </c>
      <c r="H47" s="436" t="s">
        <v>2742</v>
      </c>
      <c r="I47" s="486">
        <v>440000</v>
      </c>
      <c r="J47" s="486">
        <v>35200</v>
      </c>
      <c r="K47" s="486">
        <v>35200</v>
      </c>
      <c r="L47" s="486">
        <v>0</v>
      </c>
      <c r="M47" s="486">
        <v>0</v>
      </c>
      <c r="N47" s="487"/>
      <c r="O47" s="486">
        <f t="shared" si="6"/>
        <v>369600</v>
      </c>
    </row>
    <row r="48" spans="1:15" s="440" customFormat="1" ht="131.25" x14ac:dyDescent="0.2">
      <c r="A48" s="438">
        <v>18</v>
      </c>
      <c r="B48" s="437" t="s">
        <v>2703</v>
      </c>
      <c r="C48" s="439" t="s">
        <v>2708</v>
      </c>
      <c r="D48" s="484" t="s">
        <v>2709</v>
      </c>
      <c r="E48" s="485" t="s">
        <v>1810</v>
      </c>
      <c r="F48" s="435" t="s">
        <v>161</v>
      </c>
      <c r="G48" s="435" t="s">
        <v>1763</v>
      </c>
      <c r="H48" s="436" t="s">
        <v>2743</v>
      </c>
      <c r="I48" s="486">
        <v>135100</v>
      </c>
      <c r="J48" s="486">
        <v>0</v>
      </c>
      <c r="K48" s="486">
        <v>0</v>
      </c>
      <c r="L48" s="486">
        <v>0</v>
      </c>
      <c r="M48" s="486">
        <v>85000</v>
      </c>
      <c r="N48" s="487"/>
      <c r="O48" s="486">
        <f t="shared" si="6"/>
        <v>50100</v>
      </c>
    </row>
    <row r="49" spans="1:15" s="440" customFormat="1" ht="150" x14ac:dyDescent="0.2">
      <c r="A49" s="438">
        <v>19</v>
      </c>
      <c r="B49" s="437" t="s">
        <v>2819</v>
      </c>
      <c r="C49" s="439" t="s">
        <v>2820</v>
      </c>
      <c r="D49" s="484" t="s">
        <v>2821</v>
      </c>
      <c r="E49" s="485" t="s">
        <v>1810</v>
      </c>
      <c r="F49" s="435" t="s">
        <v>161</v>
      </c>
      <c r="G49" s="435" t="s">
        <v>1763</v>
      </c>
      <c r="H49" s="436" t="s">
        <v>2832</v>
      </c>
      <c r="I49" s="486">
        <v>1319136</v>
      </c>
      <c r="J49" s="486">
        <v>0</v>
      </c>
      <c r="K49" s="486">
        <v>0</v>
      </c>
      <c r="L49" s="486">
        <v>0</v>
      </c>
      <c r="M49" s="486">
        <v>0</v>
      </c>
      <c r="N49" s="487" t="s">
        <v>1786</v>
      </c>
      <c r="O49" s="486">
        <f t="shared" si="6"/>
        <v>1319136</v>
      </c>
    </row>
    <row r="50" spans="1:15" s="440" customFormat="1" ht="131.25" x14ac:dyDescent="0.2">
      <c r="A50" s="438">
        <v>20</v>
      </c>
      <c r="B50" s="437" t="s">
        <v>2819</v>
      </c>
      <c r="C50" s="439" t="s">
        <v>2820</v>
      </c>
      <c r="D50" s="484" t="s">
        <v>2821</v>
      </c>
      <c r="E50" s="485" t="s">
        <v>2833</v>
      </c>
      <c r="F50" s="435" t="s">
        <v>161</v>
      </c>
      <c r="G50" s="435" t="s">
        <v>1763</v>
      </c>
      <c r="H50" s="436" t="s">
        <v>2834</v>
      </c>
      <c r="I50" s="486">
        <v>819090</v>
      </c>
      <c r="J50" s="486">
        <v>0</v>
      </c>
      <c r="K50" s="486">
        <v>0</v>
      </c>
      <c r="L50" s="486">
        <v>0</v>
      </c>
      <c r="M50" s="486">
        <v>0</v>
      </c>
      <c r="N50" s="487" t="s">
        <v>2835</v>
      </c>
      <c r="O50" s="486">
        <f t="shared" si="6"/>
        <v>819090</v>
      </c>
    </row>
    <row r="51" spans="1:15" s="440" customFormat="1" ht="131.25" x14ac:dyDescent="0.2">
      <c r="A51" s="438">
        <v>21</v>
      </c>
      <c r="B51" s="437" t="s">
        <v>2836</v>
      </c>
      <c r="C51" s="439" t="s">
        <v>2837</v>
      </c>
      <c r="D51" s="484" t="s">
        <v>2838</v>
      </c>
      <c r="E51" s="485" t="s">
        <v>2590</v>
      </c>
      <c r="F51" s="435" t="s">
        <v>161</v>
      </c>
      <c r="G51" s="435" t="s">
        <v>1144</v>
      </c>
      <c r="H51" s="436" t="s">
        <v>2839</v>
      </c>
      <c r="I51" s="486">
        <v>142500</v>
      </c>
      <c r="J51" s="486">
        <v>0</v>
      </c>
      <c r="K51" s="486">
        <v>0</v>
      </c>
      <c r="L51" s="486">
        <v>7125</v>
      </c>
      <c r="M51" s="486">
        <v>7125</v>
      </c>
      <c r="N51" s="487"/>
      <c r="O51" s="486">
        <f t="shared" si="6"/>
        <v>128250</v>
      </c>
    </row>
    <row r="52" spans="1:15" s="440" customFormat="1" ht="150" x14ac:dyDescent="0.2">
      <c r="A52" s="438">
        <v>22</v>
      </c>
      <c r="B52" s="437" t="s">
        <v>2840</v>
      </c>
      <c r="C52" s="439" t="s">
        <v>2841</v>
      </c>
      <c r="D52" s="484" t="s">
        <v>2842</v>
      </c>
      <c r="E52" s="485" t="s">
        <v>2025</v>
      </c>
      <c r="F52" s="435" t="s">
        <v>161</v>
      </c>
      <c r="G52" s="435" t="s">
        <v>336</v>
      </c>
      <c r="H52" s="436" t="s">
        <v>2843</v>
      </c>
      <c r="I52" s="486">
        <v>228000</v>
      </c>
      <c r="J52" s="486">
        <v>0</v>
      </c>
      <c r="K52" s="486">
        <v>0</v>
      </c>
      <c r="L52" s="486">
        <v>18240</v>
      </c>
      <c r="M52" s="486">
        <v>18240</v>
      </c>
      <c r="N52" s="487"/>
      <c r="O52" s="486">
        <f t="shared" si="6"/>
        <v>191520</v>
      </c>
    </row>
    <row r="53" spans="1:15" s="440" customFormat="1" ht="93.75" x14ac:dyDescent="0.2">
      <c r="A53" s="438">
        <v>23</v>
      </c>
      <c r="B53" s="437" t="s">
        <v>2840</v>
      </c>
      <c r="C53" s="439" t="s">
        <v>2844</v>
      </c>
      <c r="D53" s="484" t="s">
        <v>2845</v>
      </c>
      <c r="E53" s="485" t="s">
        <v>1810</v>
      </c>
      <c r="F53" s="435" t="s">
        <v>161</v>
      </c>
      <c r="G53" s="435" t="s">
        <v>1198</v>
      </c>
      <c r="H53" s="436" t="s">
        <v>2846</v>
      </c>
      <c r="I53" s="486">
        <v>40000</v>
      </c>
      <c r="J53" s="486">
        <v>0</v>
      </c>
      <c r="K53" s="486">
        <v>0</v>
      </c>
      <c r="L53" s="486">
        <v>0</v>
      </c>
      <c r="M53" s="486">
        <v>0</v>
      </c>
      <c r="N53" s="487" t="s">
        <v>1631</v>
      </c>
      <c r="O53" s="486">
        <f t="shared" si="6"/>
        <v>40000</v>
      </c>
    </row>
    <row r="54" spans="1:15" s="440" customFormat="1" ht="168.75" x14ac:dyDescent="0.2">
      <c r="A54" s="438">
        <v>24</v>
      </c>
      <c r="B54" s="437" t="s">
        <v>2828</v>
      </c>
      <c r="C54" s="439" t="s">
        <v>2847</v>
      </c>
      <c r="D54" s="484" t="s">
        <v>2848</v>
      </c>
      <c r="E54" s="485" t="s">
        <v>2617</v>
      </c>
      <c r="F54" s="435" t="s">
        <v>161</v>
      </c>
      <c r="G54" s="435" t="s">
        <v>1198</v>
      </c>
      <c r="H54" s="436" t="s">
        <v>2849</v>
      </c>
      <c r="I54" s="486">
        <v>132525</v>
      </c>
      <c r="J54" s="486">
        <v>0</v>
      </c>
      <c r="K54" s="486">
        <v>0</v>
      </c>
      <c r="L54" s="486">
        <v>6626.25</v>
      </c>
      <c r="M54" s="486">
        <v>6626.25</v>
      </c>
      <c r="N54" s="487"/>
      <c r="O54" s="486">
        <f t="shared" si="6"/>
        <v>119272.5</v>
      </c>
    </row>
    <row r="55" spans="1:15" s="440" customFormat="1" x14ac:dyDescent="0.2">
      <c r="A55" s="388" t="s">
        <v>156</v>
      </c>
      <c r="B55" s="389"/>
      <c r="C55" s="390"/>
      <c r="D55" s="482"/>
      <c r="E55" s="388"/>
      <c r="F55" s="391"/>
      <c r="G55" s="391"/>
      <c r="H55" s="392"/>
      <c r="I55" s="393">
        <f>SUM(I56:I58)</f>
        <v>3238190</v>
      </c>
      <c r="J55" s="393">
        <f t="shared" ref="J55:O55" si="7">SUM(J56:J58)</f>
        <v>0</v>
      </c>
      <c r="K55" s="393">
        <f t="shared" si="7"/>
        <v>0</v>
      </c>
      <c r="L55" s="393">
        <f t="shared" si="7"/>
        <v>123050</v>
      </c>
      <c r="M55" s="393">
        <f t="shared" si="7"/>
        <v>123050</v>
      </c>
      <c r="N55" s="393"/>
      <c r="O55" s="393">
        <f t="shared" si="7"/>
        <v>2992090</v>
      </c>
    </row>
    <row r="56" spans="1:15" s="440" customFormat="1" ht="281.25" x14ac:dyDescent="0.2">
      <c r="A56" s="438">
        <v>1</v>
      </c>
      <c r="B56" s="437">
        <v>243788</v>
      </c>
      <c r="C56" s="439" t="s">
        <v>2663</v>
      </c>
      <c r="D56" s="484" t="s">
        <v>2664</v>
      </c>
      <c r="E56" s="485" t="s">
        <v>2665</v>
      </c>
      <c r="F56" s="435" t="s">
        <v>156</v>
      </c>
      <c r="G56" s="435" t="s">
        <v>1198</v>
      </c>
      <c r="H56" s="436" t="s">
        <v>2744</v>
      </c>
      <c r="I56" s="486">
        <v>38190</v>
      </c>
      <c r="J56" s="486">
        <v>0</v>
      </c>
      <c r="K56" s="486">
        <v>0</v>
      </c>
      <c r="L56" s="486">
        <v>0</v>
      </c>
      <c r="M56" s="486">
        <v>0</v>
      </c>
      <c r="N56" s="487" t="s">
        <v>2182</v>
      </c>
      <c r="O56" s="486">
        <f>+I56-(SUM(J56:N56))</f>
        <v>38190</v>
      </c>
    </row>
    <row r="57" spans="1:15" s="440" customFormat="1" ht="112.5" x14ac:dyDescent="0.2">
      <c r="A57" s="438">
        <v>2</v>
      </c>
      <c r="B57" s="437" t="s">
        <v>2819</v>
      </c>
      <c r="C57" s="439" t="s">
        <v>2850</v>
      </c>
      <c r="D57" s="484" t="s">
        <v>2851</v>
      </c>
      <c r="E57" s="485" t="s">
        <v>1268</v>
      </c>
      <c r="F57" s="435" t="s">
        <v>156</v>
      </c>
      <c r="G57" s="435" t="s">
        <v>2310</v>
      </c>
      <c r="H57" s="436" t="s">
        <v>2852</v>
      </c>
      <c r="I57" s="486">
        <v>2700000</v>
      </c>
      <c r="J57" s="486">
        <v>0</v>
      </c>
      <c r="K57" s="486">
        <v>0</v>
      </c>
      <c r="L57" s="486">
        <v>100000</v>
      </c>
      <c r="M57" s="486">
        <v>100000</v>
      </c>
      <c r="N57" s="487"/>
      <c r="O57" s="486">
        <f>+I57-(SUM(J57:N57))</f>
        <v>2500000</v>
      </c>
    </row>
    <row r="58" spans="1:15" s="440" customFormat="1" ht="131.25" x14ac:dyDescent="0.2">
      <c r="A58" s="438">
        <v>3</v>
      </c>
      <c r="B58" s="437" t="s">
        <v>2819</v>
      </c>
      <c r="C58" s="439" t="s">
        <v>2853</v>
      </c>
      <c r="D58" s="484" t="s">
        <v>2854</v>
      </c>
      <c r="E58" s="485" t="s">
        <v>1268</v>
      </c>
      <c r="F58" s="435" t="s">
        <v>156</v>
      </c>
      <c r="G58" s="435" t="s">
        <v>2855</v>
      </c>
      <c r="H58" s="436" t="s">
        <v>2856</v>
      </c>
      <c r="I58" s="486">
        <v>500000</v>
      </c>
      <c r="J58" s="486">
        <v>0</v>
      </c>
      <c r="K58" s="486">
        <v>0</v>
      </c>
      <c r="L58" s="486">
        <v>23050</v>
      </c>
      <c r="M58" s="486">
        <v>23050</v>
      </c>
      <c r="N58" s="487"/>
      <c r="O58" s="486">
        <f>+I58-(SUM(J58:N58))</f>
        <v>453900</v>
      </c>
    </row>
    <row r="59" spans="1:15" s="440" customFormat="1" x14ac:dyDescent="0.2">
      <c r="A59" s="388" t="s">
        <v>2434</v>
      </c>
      <c r="B59" s="389"/>
      <c r="C59" s="390"/>
      <c r="D59" s="482"/>
      <c r="E59" s="388"/>
      <c r="F59" s="391"/>
      <c r="G59" s="391"/>
      <c r="H59" s="392"/>
      <c r="I59" s="393">
        <f>SUM(I60:I96)</f>
        <v>10008958.6</v>
      </c>
      <c r="J59" s="393">
        <f t="shared" ref="J59:M59" si="8">SUM(J60:J96)</f>
        <v>205554.598</v>
      </c>
      <c r="K59" s="393">
        <f t="shared" si="8"/>
        <v>205554.598</v>
      </c>
      <c r="L59" s="393">
        <f t="shared" si="8"/>
        <v>138861</v>
      </c>
      <c r="M59" s="393">
        <f t="shared" si="8"/>
        <v>266361</v>
      </c>
      <c r="N59" s="393"/>
      <c r="O59" s="393">
        <f>SUM(O60:O96)</f>
        <v>9192627.4039999992</v>
      </c>
    </row>
    <row r="60" spans="1:15" s="440" customFormat="1" ht="131.25" x14ac:dyDescent="0.2">
      <c r="A60" s="438">
        <v>1</v>
      </c>
      <c r="B60" s="437" t="s">
        <v>2435</v>
      </c>
      <c r="C60" s="439" t="s">
        <v>2450</v>
      </c>
      <c r="D60" s="484" t="s">
        <v>2451</v>
      </c>
      <c r="E60" s="485" t="s">
        <v>451</v>
      </c>
      <c r="F60" s="435" t="s">
        <v>2434</v>
      </c>
      <c r="G60" s="435" t="s">
        <v>1162</v>
      </c>
      <c r="H60" s="436" t="s">
        <v>2747</v>
      </c>
      <c r="I60" s="486">
        <v>21000</v>
      </c>
      <c r="J60" s="486">
        <v>0</v>
      </c>
      <c r="K60" s="486">
        <v>0</v>
      </c>
      <c r="L60" s="486">
        <v>0</v>
      </c>
      <c r="M60" s="486">
        <v>0</v>
      </c>
      <c r="N60" s="487" t="s">
        <v>1911</v>
      </c>
      <c r="O60" s="486">
        <f t="shared" ref="O60:O96" si="9">+I60-(SUM(J60:N60))</f>
        <v>21000</v>
      </c>
    </row>
    <row r="61" spans="1:15" s="440" customFormat="1" ht="150" x14ac:dyDescent="0.2">
      <c r="A61" s="438">
        <v>2</v>
      </c>
      <c r="B61" s="437" t="s">
        <v>2435</v>
      </c>
      <c r="C61" s="439" t="s">
        <v>2448</v>
      </c>
      <c r="D61" s="484" t="s">
        <v>2449</v>
      </c>
      <c r="E61" s="485" t="s">
        <v>451</v>
      </c>
      <c r="F61" s="435" t="s">
        <v>2434</v>
      </c>
      <c r="G61" s="435" t="s">
        <v>2154</v>
      </c>
      <c r="H61" s="436" t="s">
        <v>2748</v>
      </c>
      <c r="I61" s="486">
        <v>254000</v>
      </c>
      <c r="J61" s="486">
        <v>0</v>
      </c>
      <c r="K61" s="486">
        <v>0</v>
      </c>
      <c r="L61" s="486">
        <v>0</v>
      </c>
      <c r="M61" s="486">
        <v>0</v>
      </c>
      <c r="N61" s="487" t="s">
        <v>1786</v>
      </c>
      <c r="O61" s="486">
        <f t="shared" si="9"/>
        <v>254000</v>
      </c>
    </row>
    <row r="62" spans="1:15" s="440" customFormat="1" ht="112.5" x14ac:dyDescent="0.2">
      <c r="A62" s="438">
        <v>3</v>
      </c>
      <c r="B62" s="437" t="s">
        <v>2447</v>
      </c>
      <c r="C62" s="439" t="s">
        <v>2452</v>
      </c>
      <c r="D62" s="484" t="s">
        <v>2453</v>
      </c>
      <c r="E62" s="485" t="s">
        <v>2142</v>
      </c>
      <c r="F62" s="435" t="s">
        <v>2434</v>
      </c>
      <c r="G62" s="435" t="s">
        <v>1198</v>
      </c>
      <c r="H62" s="436" t="s">
        <v>2749</v>
      </c>
      <c r="I62" s="486">
        <v>165300</v>
      </c>
      <c r="J62" s="486">
        <v>0</v>
      </c>
      <c r="K62" s="486">
        <v>0</v>
      </c>
      <c r="L62" s="486">
        <v>8265</v>
      </c>
      <c r="M62" s="486">
        <v>8265</v>
      </c>
      <c r="N62" s="487"/>
      <c r="O62" s="486">
        <f t="shared" si="9"/>
        <v>148770</v>
      </c>
    </row>
    <row r="63" spans="1:15" s="440" customFormat="1" ht="150" x14ac:dyDescent="0.2">
      <c r="A63" s="438">
        <v>4</v>
      </c>
      <c r="B63" s="437" t="s">
        <v>2475</v>
      </c>
      <c r="C63" s="439" t="s">
        <v>2476</v>
      </c>
      <c r="D63" s="484" t="s">
        <v>2477</v>
      </c>
      <c r="E63" s="485" t="s">
        <v>1167</v>
      </c>
      <c r="F63" s="435" t="s">
        <v>2434</v>
      </c>
      <c r="G63" s="435" t="s">
        <v>2347</v>
      </c>
      <c r="H63" s="436" t="s">
        <v>2750</v>
      </c>
      <c r="I63" s="486">
        <v>120000</v>
      </c>
      <c r="J63" s="486">
        <v>6000</v>
      </c>
      <c r="K63" s="486">
        <v>6000</v>
      </c>
      <c r="L63" s="486">
        <v>0</v>
      </c>
      <c r="M63" s="486">
        <v>0</v>
      </c>
      <c r="N63" s="487"/>
      <c r="O63" s="486">
        <f t="shared" si="9"/>
        <v>108000</v>
      </c>
    </row>
    <row r="64" spans="1:15" s="440" customFormat="1" ht="112.5" x14ac:dyDescent="0.2">
      <c r="A64" s="438">
        <v>5</v>
      </c>
      <c r="B64" s="437" t="s">
        <v>2478</v>
      </c>
      <c r="C64" s="439" t="s">
        <v>2479</v>
      </c>
      <c r="D64" s="484" t="s">
        <v>2480</v>
      </c>
      <c r="E64" s="485" t="s">
        <v>2174</v>
      </c>
      <c r="F64" s="435" t="s">
        <v>2434</v>
      </c>
      <c r="G64" s="435" t="s">
        <v>1198</v>
      </c>
      <c r="H64" s="436" t="s">
        <v>2751</v>
      </c>
      <c r="I64" s="486">
        <v>144666</v>
      </c>
      <c r="J64" s="486">
        <v>0</v>
      </c>
      <c r="K64" s="486">
        <v>0</v>
      </c>
      <c r="L64" s="486">
        <v>0</v>
      </c>
      <c r="M64" s="486">
        <v>0</v>
      </c>
      <c r="N64" s="487" t="s">
        <v>2325</v>
      </c>
      <c r="O64" s="486">
        <f t="shared" si="9"/>
        <v>144666</v>
      </c>
    </row>
    <row r="65" spans="1:15" s="440" customFormat="1" ht="150" x14ac:dyDescent="0.2">
      <c r="A65" s="438">
        <v>6</v>
      </c>
      <c r="B65" s="437" t="s">
        <v>2515</v>
      </c>
      <c r="C65" s="439" t="s">
        <v>2516</v>
      </c>
      <c r="D65" s="484" t="s">
        <v>2517</v>
      </c>
      <c r="E65" s="485" t="s">
        <v>1167</v>
      </c>
      <c r="F65" s="435" t="s">
        <v>2434</v>
      </c>
      <c r="G65" s="435" t="s">
        <v>2347</v>
      </c>
      <c r="H65" s="436" t="s">
        <v>2752</v>
      </c>
      <c r="I65" s="486">
        <v>120000</v>
      </c>
      <c r="J65" s="486">
        <v>6000</v>
      </c>
      <c r="K65" s="486">
        <v>6000</v>
      </c>
      <c r="L65" s="486">
        <v>0</v>
      </c>
      <c r="M65" s="486">
        <v>0</v>
      </c>
      <c r="N65" s="487"/>
      <c r="O65" s="486">
        <f t="shared" si="9"/>
        <v>108000</v>
      </c>
    </row>
    <row r="66" spans="1:15" s="440" customFormat="1" ht="150" x14ac:dyDescent="0.2">
      <c r="A66" s="438">
        <v>7</v>
      </c>
      <c r="B66" s="437" t="s">
        <v>2518</v>
      </c>
      <c r="C66" s="439" t="s">
        <v>2519</v>
      </c>
      <c r="D66" s="484" t="s">
        <v>2520</v>
      </c>
      <c r="E66" s="485" t="s">
        <v>2343</v>
      </c>
      <c r="F66" s="435" t="s">
        <v>2434</v>
      </c>
      <c r="G66" s="435" t="s">
        <v>2249</v>
      </c>
      <c r="H66" s="436" t="s">
        <v>2753</v>
      </c>
      <c r="I66" s="486">
        <v>14000</v>
      </c>
      <c r="J66" s="486">
        <v>700</v>
      </c>
      <c r="K66" s="486">
        <v>700</v>
      </c>
      <c r="L66" s="486">
        <v>0</v>
      </c>
      <c r="M66" s="486">
        <v>0</v>
      </c>
      <c r="N66" s="487"/>
      <c r="O66" s="486">
        <f t="shared" si="9"/>
        <v>12600</v>
      </c>
    </row>
    <row r="67" spans="1:15" s="440" customFormat="1" ht="150" x14ac:dyDescent="0.2">
      <c r="A67" s="438">
        <v>8</v>
      </c>
      <c r="B67" s="437" t="s">
        <v>2528</v>
      </c>
      <c r="C67" s="439" t="s">
        <v>2529</v>
      </c>
      <c r="D67" s="484" t="s">
        <v>2530</v>
      </c>
      <c r="E67" s="485" t="s">
        <v>1894</v>
      </c>
      <c r="F67" s="435" t="s">
        <v>2434</v>
      </c>
      <c r="G67" s="435" t="s">
        <v>2154</v>
      </c>
      <c r="H67" s="436" t="s">
        <v>2754</v>
      </c>
      <c r="I67" s="486">
        <v>796402</v>
      </c>
      <c r="J67" s="486">
        <v>0</v>
      </c>
      <c r="K67" s="486">
        <v>0</v>
      </c>
      <c r="L67" s="486">
        <v>0</v>
      </c>
      <c r="M67" s="486">
        <v>0</v>
      </c>
      <c r="N67" s="487" t="s">
        <v>2325</v>
      </c>
      <c r="O67" s="486">
        <f t="shared" si="9"/>
        <v>796402</v>
      </c>
    </row>
    <row r="68" spans="1:15" s="440" customFormat="1" ht="168.75" x14ac:dyDescent="0.2">
      <c r="A68" s="438">
        <v>9</v>
      </c>
      <c r="B68" s="437" t="s">
        <v>2528</v>
      </c>
      <c r="C68" s="439" t="s">
        <v>2529</v>
      </c>
      <c r="D68" s="484" t="s">
        <v>2530</v>
      </c>
      <c r="E68" s="485" t="s">
        <v>2190</v>
      </c>
      <c r="F68" s="435" t="s">
        <v>2434</v>
      </c>
      <c r="G68" s="435" t="s">
        <v>2154</v>
      </c>
      <c r="H68" s="436" t="s">
        <v>2755</v>
      </c>
      <c r="I68" s="486">
        <v>332200</v>
      </c>
      <c r="J68" s="486">
        <v>0</v>
      </c>
      <c r="K68" s="486">
        <v>0</v>
      </c>
      <c r="L68" s="486">
        <v>0</v>
      </c>
      <c r="M68" s="486">
        <v>0</v>
      </c>
      <c r="N68" s="487" t="s">
        <v>2325</v>
      </c>
      <c r="O68" s="486">
        <f t="shared" si="9"/>
        <v>332200</v>
      </c>
    </row>
    <row r="69" spans="1:15" s="440" customFormat="1" ht="262.5" x14ac:dyDescent="0.2">
      <c r="A69" s="438">
        <v>10</v>
      </c>
      <c r="B69" s="437" t="s">
        <v>2541</v>
      </c>
      <c r="C69" s="439" t="s">
        <v>2544</v>
      </c>
      <c r="D69" s="484" t="s">
        <v>2545</v>
      </c>
      <c r="E69" s="485" t="s">
        <v>2183</v>
      </c>
      <c r="F69" s="435" t="s">
        <v>2434</v>
      </c>
      <c r="G69" s="435" t="s">
        <v>1198</v>
      </c>
      <c r="H69" s="436" t="s">
        <v>2756</v>
      </c>
      <c r="I69" s="486">
        <v>236160</v>
      </c>
      <c r="J69" s="486">
        <v>0</v>
      </c>
      <c r="K69" s="486">
        <v>0</v>
      </c>
      <c r="L69" s="486">
        <v>0</v>
      </c>
      <c r="M69" s="486">
        <v>0</v>
      </c>
      <c r="N69" s="487" t="s">
        <v>2182</v>
      </c>
      <c r="O69" s="486">
        <f t="shared" si="9"/>
        <v>236160</v>
      </c>
    </row>
    <row r="70" spans="1:15" s="440" customFormat="1" ht="300" x14ac:dyDescent="0.2">
      <c r="A70" s="438">
        <v>11</v>
      </c>
      <c r="B70" s="437" t="s">
        <v>2541</v>
      </c>
      <c r="C70" s="439" t="s">
        <v>2546</v>
      </c>
      <c r="D70" s="484" t="s">
        <v>2547</v>
      </c>
      <c r="E70" s="485" t="s">
        <v>2181</v>
      </c>
      <c r="F70" s="435" t="s">
        <v>2434</v>
      </c>
      <c r="G70" s="435" t="s">
        <v>1198</v>
      </c>
      <c r="H70" s="436" t="s">
        <v>2757</v>
      </c>
      <c r="I70" s="486">
        <v>240000</v>
      </c>
      <c r="J70" s="486">
        <v>0</v>
      </c>
      <c r="K70" s="486">
        <v>0</v>
      </c>
      <c r="L70" s="486">
        <v>0</v>
      </c>
      <c r="M70" s="486">
        <v>0</v>
      </c>
      <c r="N70" s="487" t="s">
        <v>2182</v>
      </c>
      <c r="O70" s="486">
        <f t="shared" si="9"/>
        <v>240000</v>
      </c>
    </row>
    <row r="71" spans="1:15" s="440" customFormat="1" ht="150" x14ac:dyDescent="0.2">
      <c r="A71" s="438">
        <v>12</v>
      </c>
      <c r="B71" s="437" t="s">
        <v>2536</v>
      </c>
      <c r="C71" s="439" t="s">
        <v>2548</v>
      </c>
      <c r="D71" s="484" t="s">
        <v>2549</v>
      </c>
      <c r="E71" s="485" t="s">
        <v>1167</v>
      </c>
      <c r="F71" s="435" t="s">
        <v>2434</v>
      </c>
      <c r="G71" s="435" t="s">
        <v>2347</v>
      </c>
      <c r="H71" s="436" t="s">
        <v>2758</v>
      </c>
      <c r="I71" s="486">
        <v>40000</v>
      </c>
      <c r="J71" s="486">
        <v>2000</v>
      </c>
      <c r="K71" s="486">
        <v>2000</v>
      </c>
      <c r="L71" s="486">
        <v>0</v>
      </c>
      <c r="M71" s="486">
        <v>0</v>
      </c>
      <c r="N71" s="487"/>
      <c r="O71" s="486">
        <f t="shared" si="9"/>
        <v>36000</v>
      </c>
    </row>
    <row r="72" spans="1:15" s="440" customFormat="1" ht="112.5" x14ac:dyDescent="0.2">
      <c r="A72" s="438">
        <v>13</v>
      </c>
      <c r="B72" s="437" t="s">
        <v>2559</v>
      </c>
      <c r="C72" s="439" t="s">
        <v>2560</v>
      </c>
      <c r="D72" s="484" t="s">
        <v>2561</v>
      </c>
      <c r="E72" s="485" t="s">
        <v>2142</v>
      </c>
      <c r="F72" s="435" t="s">
        <v>2434</v>
      </c>
      <c r="G72" s="435" t="s">
        <v>1198</v>
      </c>
      <c r="H72" s="436" t="s">
        <v>2759</v>
      </c>
      <c r="I72" s="486">
        <v>110200</v>
      </c>
      <c r="J72" s="486">
        <v>0</v>
      </c>
      <c r="K72" s="486">
        <v>0</v>
      </c>
      <c r="L72" s="486">
        <v>5510</v>
      </c>
      <c r="M72" s="486">
        <v>5510</v>
      </c>
      <c r="N72" s="487"/>
      <c r="O72" s="486">
        <f t="shared" si="9"/>
        <v>99180</v>
      </c>
    </row>
    <row r="73" spans="1:15" s="440" customFormat="1" ht="131.25" x14ac:dyDescent="0.2">
      <c r="A73" s="438">
        <v>14</v>
      </c>
      <c r="B73" s="437" t="s">
        <v>2562</v>
      </c>
      <c r="C73" s="439" t="s">
        <v>2563</v>
      </c>
      <c r="D73" s="484" t="s">
        <v>2564</v>
      </c>
      <c r="E73" s="485" t="s">
        <v>451</v>
      </c>
      <c r="F73" s="435" t="s">
        <v>2434</v>
      </c>
      <c r="G73" s="435" t="s">
        <v>2565</v>
      </c>
      <c r="H73" s="436" t="s">
        <v>2760</v>
      </c>
      <c r="I73" s="486">
        <v>271675</v>
      </c>
      <c r="J73" s="486">
        <v>13583.75</v>
      </c>
      <c r="K73" s="486">
        <v>13583.75</v>
      </c>
      <c r="L73" s="486">
        <v>0</v>
      </c>
      <c r="M73" s="486">
        <v>0</v>
      </c>
      <c r="N73" s="487"/>
      <c r="O73" s="486">
        <f t="shared" si="9"/>
        <v>244507.5</v>
      </c>
    </row>
    <row r="74" spans="1:15" s="440" customFormat="1" ht="93.75" x14ac:dyDescent="0.2">
      <c r="A74" s="438">
        <v>15</v>
      </c>
      <c r="B74" s="437" t="s">
        <v>2594</v>
      </c>
      <c r="C74" s="439" t="s">
        <v>2857</v>
      </c>
      <c r="D74" s="484" t="s">
        <v>2595</v>
      </c>
      <c r="E74" s="485" t="s">
        <v>2177</v>
      </c>
      <c r="F74" s="435" t="s">
        <v>2434</v>
      </c>
      <c r="G74" s="435" t="s">
        <v>1198</v>
      </c>
      <c r="H74" s="436" t="s">
        <v>2761</v>
      </c>
      <c r="I74" s="486">
        <v>128250</v>
      </c>
      <c r="J74" s="486">
        <v>0</v>
      </c>
      <c r="K74" s="486">
        <v>0</v>
      </c>
      <c r="L74" s="486">
        <v>6412.5</v>
      </c>
      <c r="M74" s="486">
        <v>6412.5</v>
      </c>
      <c r="N74" s="487"/>
      <c r="O74" s="486">
        <f t="shared" si="9"/>
        <v>115425</v>
      </c>
    </row>
    <row r="75" spans="1:15" s="440" customFormat="1" ht="168.75" x14ac:dyDescent="0.2">
      <c r="A75" s="438">
        <v>16</v>
      </c>
      <c r="B75" s="437" t="s">
        <v>2580</v>
      </c>
      <c r="C75" s="439" t="s">
        <v>2596</v>
      </c>
      <c r="D75" s="484" t="s">
        <v>2597</v>
      </c>
      <c r="E75" s="485" t="s">
        <v>2598</v>
      </c>
      <c r="F75" s="435" t="s">
        <v>2434</v>
      </c>
      <c r="G75" s="435" t="s">
        <v>1198</v>
      </c>
      <c r="H75" s="436" t="s">
        <v>2762</v>
      </c>
      <c r="I75" s="486">
        <v>172140</v>
      </c>
      <c r="J75" s="486">
        <v>0</v>
      </c>
      <c r="K75" s="486">
        <v>0</v>
      </c>
      <c r="L75" s="486">
        <v>8607</v>
      </c>
      <c r="M75" s="486">
        <v>8607</v>
      </c>
      <c r="N75" s="487"/>
      <c r="O75" s="486">
        <f t="shared" si="9"/>
        <v>154926</v>
      </c>
    </row>
    <row r="76" spans="1:15" s="440" customFormat="1" ht="150" x14ac:dyDescent="0.2">
      <c r="A76" s="438">
        <v>17</v>
      </c>
      <c r="B76" s="437" t="s">
        <v>2607</v>
      </c>
      <c r="C76" s="490" t="s">
        <v>2620</v>
      </c>
      <c r="D76" s="484" t="s">
        <v>2621</v>
      </c>
      <c r="E76" s="485" t="s">
        <v>2622</v>
      </c>
      <c r="F76" s="435" t="s">
        <v>2434</v>
      </c>
      <c r="G76" s="435" t="s">
        <v>1144</v>
      </c>
      <c r="H76" s="436" t="s">
        <v>2763</v>
      </c>
      <c r="I76" s="486">
        <v>199500</v>
      </c>
      <c r="J76" s="486">
        <v>0</v>
      </c>
      <c r="K76" s="486">
        <v>0</v>
      </c>
      <c r="L76" s="486">
        <v>9975</v>
      </c>
      <c r="M76" s="486">
        <v>9975</v>
      </c>
      <c r="N76" s="487"/>
      <c r="O76" s="486">
        <f t="shared" si="9"/>
        <v>179550</v>
      </c>
    </row>
    <row r="77" spans="1:15" s="440" customFormat="1" ht="150" x14ac:dyDescent="0.2">
      <c r="A77" s="438">
        <v>18</v>
      </c>
      <c r="B77" s="437" t="s">
        <v>2607</v>
      </c>
      <c r="C77" s="439" t="s">
        <v>2623</v>
      </c>
      <c r="D77" s="484" t="s">
        <v>2624</v>
      </c>
      <c r="E77" s="485" t="s">
        <v>2142</v>
      </c>
      <c r="F77" s="435" t="s">
        <v>2434</v>
      </c>
      <c r="G77" s="435" t="s">
        <v>1144</v>
      </c>
      <c r="H77" s="436" t="s">
        <v>2764</v>
      </c>
      <c r="I77" s="486">
        <v>185250</v>
      </c>
      <c r="J77" s="486">
        <v>0</v>
      </c>
      <c r="K77" s="486">
        <v>0</v>
      </c>
      <c r="L77" s="486">
        <v>9262.5</v>
      </c>
      <c r="M77" s="486">
        <v>9262.5</v>
      </c>
      <c r="N77" s="487"/>
      <c r="O77" s="486">
        <f t="shared" si="9"/>
        <v>166725</v>
      </c>
    </row>
    <row r="78" spans="1:15" s="440" customFormat="1" ht="131.25" x14ac:dyDescent="0.2">
      <c r="A78" s="438">
        <v>19</v>
      </c>
      <c r="B78" s="437" t="s">
        <v>2607</v>
      </c>
      <c r="C78" s="439" t="s">
        <v>2625</v>
      </c>
      <c r="D78" s="484" t="s">
        <v>2626</v>
      </c>
      <c r="E78" s="485" t="s">
        <v>2627</v>
      </c>
      <c r="F78" s="435" t="s">
        <v>2434</v>
      </c>
      <c r="G78" s="435" t="s">
        <v>1144</v>
      </c>
      <c r="H78" s="436" t="s">
        <v>2765</v>
      </c>
      <c r="I78" s="486">
        <v>199500</v>
      </c>
      <c r="J78" s="486">
        <v>0</v>
      </c>
      <c r="K78" s="486">
        <v>0</v>
      </c>
      <c r="L78" s="486">
        <v>9975</v>
      </c>
      <c r="M78" s="486">
        <v>9975</v>
      </c>
      <c r="N78" s="487"/>
      <c r="O78" s="486">
        <f t="shared" si="9"/>
        <v>179550</v>
      </c>
    </row>
    <row r="79" spans="1:15" s="440" customFormat="1" ht="93.75" x14ac:dyDescent="0.2">
      <c r="A79" s="438">
        <v>20</v>
      </c>
      <c r="B79" s="437">
        <v>243741</v>
      </c>
      <c r="C79" s="439" t="s">
        <v>2640</v>
      </c>
      <c r="D79" s="484" t="s">
        <v>2641</v>
      </c>
      <c r="E79" s="485" t="s">
        <v>2135</v>
      </c>
      <c r="F79" s="435" t="s">
        <v>2434</v>
      </c>
      <c r="G79" s="435" t="s">
        <v>1198</v>
      </c>
      <c r="H79" s="436" t="s">
        <v>2766</v>
      </c>
      <c r="I79" s="486">
        <v>128250</v>
      </c>
      <c r="J79" s="486">
        <v>0</v>
      </c>
      <c r="K79" s="486">
        <v>0</v>
      </c>
      <c r="L79" s="486">
        <v>6412.5</v>
      </c>
      <c r="M79" s="486">
        <v>6412.5</v>
      </c>
      <c r="N79" s="487"/>
      <c r="O79" s="486">
        <f t="shared" si="9"/>
        <v>115425</v>
      </c>
    </row>
    <row r="80" spans="1:15" s="440" customFormat="1" ht="112.5" x14ac:dyDescent="0.2">
      <c r="A80" s="438">
        <v>21</v>
      </c>
      <c r="B80" s="437">
        <v>243747</v>
      </c>
      <c r="C80" s="439" t="s">
        <v>2642</v>
      </c>
      <c r="D80" s="484" t="s">
        <v>2643</v>
      </c>
      <c r="E80" s="485" t="s">
        <v>2142</v>
      </c>
      <c r="F80" s="435" t="s">
        <v>2434</v>
      </c>
      <c r="G80" s="435" t="s">
        <v>1198</v>
      </c>
      <c r="H80" s="436" t="s">
        <v>2767</v>
      </c>
      <c r="I80" s="486">
        <v>110200</v>
      </c>
      <c r="J80" s="486">
        <v>0</v>
      </c>
      <c r="K80" s="486">
        <v>0</v>
      </c>
      <c r="L80" s="486">
        <v>5510</v>
      </c>
      <c r="M80" s="486">
        <v>5510</v>
      </c>
      <c r="N80" s="487"/>
      <c r="O80" s="486">
        <f t="shared" si="9"/>
        <v>99180</v>
      </c>
    </row>
    <row r="81" spans="1:16" s="440" customFormat="1" ht="131.25" x14ac:dyDescent="0.2">
      <c r="A81" s="438">
        <v>22</v>
      </c>
      <c r="B81" s="437">
        <v>243753</v>
      </c>
      <c r="C81" s="439" t="s">
        <v>2644</v>
      </c>
      <c r="D81" s="484" t="s">
        <v>2645</v>
      </c>
      <c r="E81" s="485" t="s">
        <v>1180</v>
      </c>
      <c r="F81" s="435" t="s">
        <v>2434</v>
      </c>
      <c r="G81" s="435" t="s">
        <v>1264</v>
      </c>
      <c r="H81" s="436" t="s">
        <v>2768</v>
      </c>
      <c r="I81" s="486">
        <v>20000</v>
      </c>
      <c r="J81" s="486">
        <v>1000</v>
      </c>
      <c r="K81" s="486">
        <v>1000</v>
      </c>
      <c r="L81" s="486">
        <v>0</v>
      </c>
      <c r="M81" s="486">
        <v>0</v>
      </c>
      <c r="N81" s="487"/>
      <c r="O81" s="486">
        <f t="shared" si="9"/>
        <v>18000</v>
      </c>
    </row>
    <row r="82" spans="1:16" s="440" customFormat="1" ht="75" x14ac:dyDescent="0.2">
      <c r="A82" s="438">
        <v>23</v>
      </c>
      <c r="B82" s="437">
        <v>243758</v>
      </c>
      <c r="C82" s="439" t="s">
        <v>2646</v>
      </c>
      <c r="D82" s="484" t="s">
        <v>2647</v>
      </c>
      <c r="E82" s="485" t="s">
        <v>2648</v>
      </c>
      <c r="F82" s="435" t="s">
        <v>2434</v>
      </c>
      <c r="G82" s="435" t="s">
        <v>2649</v>
      </c>
      <c r="H82" s="436" t="s">
        <v>2769</v>
      </c>
      <c r="I82" s="486">
        <v>981000</v>
      </c>
      <c r="J82" s="486">
        <v>78480</v>
      </c>
      <c r="K82" s="486">
        <v>78480</v>
      </c>
      <c r="L82" s="486">
        <v>0</v>
      </c>
      <c r="M82" s="486">
        <v>0</v>
      </c>
      <c r="N82" s="487"/>
      <c r="O82" s="486">
        <f t="shared" si="9"/>
        <v>824040</v>
      </c>
    </row>
    <row r="83" spans="1:16" s="440" customFormat="1" ht="112.5" x14ac:dyDescent="0.2">
      <c r="A83" s="438">
        <v>24</v>
      </c>
      <c r="B83" s="437">
        <v>243773</v>
      </c>
      <c r="C83" s="439" t="s">
        <v>2666</v>
      </c>
      <c r="D83" s="484" t="s">
        <v>2667</v>
      </c>
      <c r="E83" s="485" t="s">
        <v>2142</v>
      </c>
      <c r="F83" s="435" t="s">
        <v>2434</v>
      </c>
      <c r="G83" s="435" t="s">
        <v>1144</v>
      </c>
      <c r="H83" s="436" t="s">
        <v>2746</v>
      </c>
      <c r="I83" s="486">
        <v>355110</v>
      </c>
      <c r="J83" s="486">
        <v>0</v>
      </c>
      <c r="K83" s="486">
        <v>0</v>
      </c>
      <c r="L83" s="486">
        <v>17755.5</v>
      </c>
      <c r="M83" s="486">
        <v>17755.5</v>
      </c>
      <c r="N83" s="487"/>
      <c r="O83" s="486">
        <f t="shared" si="9"/>
        <v>319599</v>
      </c>
    </row>
    <row r="84" spans="1:16" s="440" customFormat="1" ht="112.5" x14ac:dyDescent="0.2">
      <c r="A84" s="438">
        <v>25</v>
      </c>
      <c r="B84" s="437">
        <v>243773</v>
      </c>
      <c r="C84" s="439" t="s">
        <v>2668</v>
      </c>
      <c r="D84" s="484" t="s">
        <v>2669</v>
      </c>
      <c r="E84" s="485" t="s">
        <v>2670</v>
      </c>
      <c r="F84" s="435" t="s">
        <v>2434</v>
      </c>
      <c r="G84" s="435" t="s">
        <v>2671</v>
      </c>
      <c r="H84" s="436" t="s">
        <v>2770</v>
      </c>
      <c r="I84" s="486">
        <v>178635.6</v>
      </c>
      <c r="J84" s="486">
        <v>14290.848</v>
      </c>
      <c r="K84" s="486">
        <v>14290.848</v>
      </c>
      <c r="L84" s="486">
        <v>0</v>
      </c>
      <c r="M84" s="486">
        <v>0</v>
      </c>
      <c r="N84" s="487"/>
      <c r="O84" s="486">
        <f t="shared" si="9"/>
        <v>150053.90400000001</v>
      </c>
    </row>
    <row r="85" spans="1:16" s="440" customFormat="1" ht="168.75" x14ac:dyDescent="0.2">
      <c r="A85" s="438">
        <v>26</v>
      </c>
      <c r="B85" s="437">
        <v>243788</v>
      </c>
      <c r="C85" s="439" t="s">
        <v>2672</v>
      </c>
      <c r="D85" s="484" t="s">
        <v>2673</v>
      </c>
      <c r="E85" s="485" t="s">
        <v>2598</v>
      </c>
      <c r="F85" s="435" t="s">
        <v>2434</v>
      </c>
      <c r="G85" s="435" t="s">
        <v>1198</v>
      </c>
      <c r="H85" s="436" t="s">
        <v>2771</v>
      </c>
      <c r="I85" s="486">
        <v>229520</v>
      </c>
      <c r="J85" s="486">
        <v>0</v>
      </c>
      <c r="K85" s="486">
        <v>0</v>
      </c>
      <c r="L85" s="486">
        <v>11476</v>
      </c>
      <c r="M85" s="486">
        <v>11476</v>
      </c>
      <c r="N85" s="487"/>
      <c r="O85" s="486">
        <f t="shared" si="9"/>
        <v>206568</v>
      </c>
    </row>
    <row r="86" spans="1:16" ht="112.5" x14ac:dyDescent="0.4">
      <c r="A86" s="438">
        <v>27</v>
      </c>
      <c r="B86" s="437">
        <v>243788</v>
      </c>
      <c r="C86" s="439" t="s">
        <v>2674</v>
      </c>
      <c r="D86" s="484" t="s">
        <v>2675</v>
      </c>
      <c r="E86" s="485" t="s">
        <v>2142</v>
      </c>
      <c r="F86" s="435" t="s">
        <v>2434</v>
      </c>
      <c r="G86" s="435" t="s">
        <v>1198</v>
      </c>
      <c r="H86" s="436" t="s">
        <v>2772</v>
      </c>
      <c r="I86" s="486">
        <v>29000</v>
      </c>
      <c r="J86" s="486">
        <v>0</v>
      </c>
      <c r="K86" s="486">
        <v>0</v>
      </c>
      <c r="L86" s="486">
        <v>1450</v>
      </c>
      <c r="M86" s="486">
        <v>1450</v>
      </c>
      <c r="N86" s="487"/>
      <c r="O86" s="486">
        <f t="shared" si="9"/>
        <v>26100</v>
      </c>
      <c r="P86" s="440"/>
    </row>
    <row r="87" spans="1:16" s="440" customFormat="1" ht="168.75" x14ac:dyDescent="0.2">
      <c r="A87" s="438">
        <v>28</v>
      </c>
      <c r="B87" s="437" t="s">
        <v>2703</v>
      </c>
      <c r="C87" s="439" t="s">
        <v>2773</v>
      </c>
      <c r="D87" s="484" t="s">
        <v>2774</v>
      </c>
      <c r="E87" s="485" t="s">
        <v>2775</v>
      </c>
      <c r="F87" s="435" t="s">
        <v>2434</v>
      </c>
      <c r="G87" s="435" t="s">
        <v>2776</v>
      </c>
      <c r="H87" s="436" t="s">
        <v>2777</v>
      </c>
      <c r="I87" s="486">
        <v>10000</v>
      </c>
      <c r="J87" s="486">
        <v>500</v>
      </c>
      <c r="K87" s="486">
        <v>500</v>
      </c>
      <c r="L87" s="486">
        <v>0</v>
      </c>
      <c r="M87" s="486">
        <v>0</v>
      </c>
      <c r="N87" s="487"/>
      <c r="O87" s="486">
        <f t="shared" si="9"/>
        <v>9000</v>
      </c>
    </row>
    <row r="88" spans="1:16" s="440" customFormat="1" ht="112.5" x14ac:dyDescent="0.2">
      <c r="A88" s="438">
        <v>29</v>
      </c>
      <c r="B88" s="437" t="s">
        <v>2703</v>
      </c>
      <c r="C88" s="439" t="s">
        <v>2708</v>
      </c>
      <c r="D88" s="484" t="s">
        <v>2709</v>
      </c>
      <c r="E88" s="485" t="s">
        <v>1894</v>
      </c>
      <c r="F88" s="435" t="s">
        <v>2434</v>
      </c>
      <c r="G88" s="435" t="s">
        <v>1763</v>
      </c>
      <c r="H88" s="436" t="s">
        <v>2745</v>
      </c>
      <c r="I88" s="486">
        <v>187500</v>
      </c>
      <c r="J88" s="486">
        <v>0</v>
      </c>
      <c r="K88" s="486">
        <v>0</v>
      </c>
      <c r="L88" s="486">
        <v>0</v>
      </c>
      <c r="M88" s="486">
        <v>127500</v>
      </c>
      <c r="N88" s="487"/>
      <c r="O88" s="486">
        <f t="shared" si="9"/>
        <v>60000</v>
      </c>
    </row>
    <row r="89" spans="1:16" s="440" customFormat="1" ht="131.25" x14ac:dyDescent="0.2">
      <c r="A89" s="438">
        <v>30</v>
      </c>
      <c r="B89" s="437" t="s">
        <v>2778</v>
      </c>
      <c r="C89" s="439" t="s">
        <v>2779</v>
      </c>
      <c r="D89" s="484" t="s">
        <v>2780</v>
      </c>
      <c r="E89" s="485" t="s">
        <v>2670</v>
      </c>
      <c r="F89" s="435" t="s">
        <v>2434</v>
      </c>
      <c r="G89" s="435" t="s">
        <v>2781</v>
      </c>
      <c r="H89" s="436" t="s">
        <v>2782</v>
      </c>
      <c r="I89" s="486">
        <v>1000000</v>
      </c>
      <c r="J89" s="486">
        <v>80000</v>
      </c>
      <c r="K89" s="486">
        <v>80000</v>
      </c>
      <c r="L89" s="486">
        <v>0</v>
      </c>
      <c r="M89" s="486">
        <v>0</v>
      </c>
      <c r="N89" s="487"/>
      <c r="O89" s="486">
        <f t="shared" si="9"/>
        <v>840000</v>
      </c>
    </row>
    <row r="90" spans="1:16" s="440" customFormat="1" ht="131.25" x14ac:dyDescent="0.2">
      <c r="A90" s="438">
        <v>31</v>
      </c>
      <c r="B90" s="437" t="s">
        <v>2819</v>
      </c>
      <c r="C90" s="439" t="s">
        <v>2858</v>
      </c>
      <c r="D90" s="484" t="s">
        <v>2859</v>
      </c>
      <c r="E90" s="485" t="s">
        <v>2627</v>
      </c>
      <c r="F90" s="435" t="s">
        <v>2434</v>
      </c>
      <c r="G90" s="435" t="s">
        <v>1144</v>
      </c>
      <c r="H90" s="436" t="s">
        <v>2860</v>
      </c>
      <c r="I90" s="486">
        <v>266000</v>
      </c>
      <c r="J90" s="486">
        <v>0</v>
      </c>
      <c r="K90" s="486">
        <v>0</v>
      </c>
      <c r="L90" s="486">
        <v>13300</v>
      </c>
      <c r="M90" s="486">
        <v>13300</v>
      </c>
      <c r="N90" s="487"/>
      <c r="O90" s="486">
        <f t="shared" si="9"/>
        <v>239400</v>
      </c>
    </row>
    <row r="91" spans="1:16" s="440" customFormat="1" ht="150" x14ac:dyDescent="0.2">
      <c r="A91" s="438">
        <v>32</v>
      </c>
      <c r="B91" s="437" t="s">
        <v>2819</v>
      </c>
      <c r="C91" s="439" t="s">
        <v>2820</v>
      </c>
      <c r="D91" s="484" t="s">
        <v>2821</v>
      </c>
      <c r="E91" s="485" t="s">
        <v>2861</v>
      </c>
      <c r="F91" s="435" t="s">
        <v>2434</v>
      </c>
      <c r="G91" s="435" t="s">
        <v>1763</v>
      </c>
      <c r="H91" s="436" t="s">
        <v>2862</v>
      </c>
      <c r="I91" s="486">
        <v>1741950</v>
      </c>
      <c r="J91" s="486">
        <v>0</v>
      </c>
      <c r="K91" s="486">
        <v>0</v>
      </c>
      <c r="L91" s="486">
        <v>0</v>
      </c>
      <c r="M91" s="486">
        <v>0</v>
      </c>
      <c r="N91" s="487" t="s">
        <v>1786</v>
      </c>
      <c r="O91" s="486">
        <f t="shared" si="9"/>
        <v>1741950</v>
      </c>
    </row>
    <row r="92" spans="1:16" s="440" customFormat="1" ht="168.75" x14ac:dyDescent="0.2">
      <c r="A92" s="438">
        <v>33</v>
      </c>
      <c r="B92" s="437" t="s">
        <v>2863</v>
      </c>
      <c r="C92" s="439" t="s">
        <v>2864</v>
      </c>
      <c r="D92" s="484" t="s">
        <v>2865</v>
      </c>
      <c r="E92" s="485" t="s">
        <v>1722</v>
      </c>
      <c r="F92" s="435" t="s">
        <v>2434</v>
      </c>
      <c r="G92" s="435" t="s">
        <v>2461</v>
      </c>
      <c r="H92" s="436" t="s">
        <v>2866</v>
      </c>
      <c r="I92" s="486">
        <v>60000</v>
      </c>
      <c r="J92" s="486">
        <v>3000</v>
      </c>
      <c r="K92" s="486">
        <v>3000</v>
      </c>
      <c r="L92" s="486">
        <v>0</v>
      </c>
      <c r="M92" s="486">
        <v>0</v>
      </c>
      <c r="N92" s="487"/>
      <c r="O92" s="486">
        <f t="shared" si="9"/>
        <v>54000</v>
      </c>
    </row>
    <row r="93" spans="1:16" s="440" customFormat="1" ht="93.75" x14ac:dyDescent="0.2">
      <c r="A93" s="438">
        <v>34</v>
      </c>
      <c r="B93" s="437" t="s">
        <v>2863</v>
      </c>
      <c r="C93" s="439" t="s">
        <v>2867</v>
      </c>
      <c r="D93" s="484" t="s">
        <v>2868</v>
      </c>
      <c r="E93" s="485" t="s">
        <v>2135</v>
      </c>
      <c r="F93" s="435" t="s">
        <v>2434</v>
      </c>
      <c r="G93" s="435" t="s">
        <v>1198</v>
      </c>
      <c r="H93" s="436" t="s">
        <v>2869</v>
      </c>
      <c r="I93" s="486">
        <v>85500</v>
      </c>
      <c r="J93" s="486">
        <v>0</v>
      </c>
      <c r="K93" s="486">
        <v>0</v>
      </c>
      <c r="L93" s="486">
        <v>4275</v>
      </c>
      <c r="M93" s="486">
        <v>4275</v>
      </c>
      <c r="N93" s="487"/>
      <c r="O93" s="486">
        <f t="shared" si="9"/>
        <v>76950</v>
      </c>
    </row>
    <row r="94" spans="1:16" s="440" customFormat="1" ht="150" x14ac:dyDescent="0.2">
      <c r="A94" s="438">
        <v>35</v>
      </c>
      <c r="B94" s="437" t="s">
        <v>2870</v>
      </c>
      <c r="C94" s="439" t="s">
        <v>2871</v>
      </c>
      <c r="D94" s="484" t="s">
        <v>2872</v>
      </c>
      <c r="E94" s="485" t="s">
        <v>2622</v>
      </c>
      <c r="F94" s="435" t="s">
        <v>2434</v>
      </c>
      <c r="G94" s="435" t="s">
        <v>1144</v>
      </c>
      <c r="H94" s="436" t="s">
        <v>2873</v>
      </c>
      <c r="I94" s="486">
        <v>266000</v>
      </c>
      <c r="J94" s="486">
        <v>0</v>
      </c>
      <c r="K94" s="486">
        <v>0</v>
      </c>
      <c r="L94" s="486">
        <v>13300</v>
      </c>
      <c r="M94" s="486">
        <v>13300</v>
      </c>
      <c r="N94" s="487"/>
      <c r="O94" s="486">
        <f t="shared" si="9"/>
        <v>239400</v>
      </c>
    </row>
    <row r="95" spans="1:16" s="440" customFormat="1" ht="150" x14ac:dyDescent="0.2">
      <c r="A95" s="438">
        <v>36</v>
      </c>
      <c r="B95" s="437" t="s">
        <v>2836</v>
      </c>
      <c r="C95" s="439" t="s">
        <v>2874</v>
      </c>
      <c r="D95" s="484" t="s">
        <v>2875</v>
      </c>
      <c r="E95" s="485" t="s">
        <v>1884</v>
      </c>
      <c r="F95" s="435" t="s">
        <v>2434</v>
      </c>
      <c r="G95" s="435" t="s">
        <v>2876</v>
      </c>
      <c r="H95" s="436" t="s">
        <v>2877</v>
      </c>
      <c r="I95" s="486">
        <v>416550</v>
      </c>
      <c r="J95" s="486">
        <v>0</v>
      </c>
      <c r="K95" s="486">
        <v>0</v>
      </c>
      <c r="L95" s="486">
        <v>0</v>
      </c>
      <c r="M95" s="486">
        <v>0</v>
      </c>
      <c r="N95" s="487" t="s">
        <v>1786</v>
      </c>
      <c r="O95" s="486">
        <f t="shared" si="9"/>
        <v>416550</v>
      </c>
    </row>
    <row r="96" spans="1:16" s="440" customFormat="1" ht="93.75" x14ac:dyDescent="0.2">
      <c r="A96" s="438">
        <v>37</v>
      </c>
      <c r="B96" s="437" t="s">
        <v>2828</v>
      </c>
      <c r="C96" s="439" t="s">
        <v>2878</v>
      </c>
      <c r="D96" s="484" t="s">
        <v>2879</v>
      </c>
      <c r="E96" s="485" t="s">
        <v>2177</v>
      </c>
      <c r="F96" s="435" t="s">
        <v>2434</v>
      </c>
      <c r="G96" s="435" t="s">
        <v>1198</v>
      </c>
      <c r="H96" s="436" t="s">
        <v>2880</v>
      </c>
      <c r="I96" s="486">
        <v>193500</v>
      </c>
      <c r="J96" s="486">
        <v>0</v>
      </c>
      <c r="K96" s="486">
        <v>0</v>
      </c>
      <c r="L96" s="486">
        <v>7375</v>
      </c>
      <c r="M96" s="486">
        <v>7375</v>
      </c>
      <c r="N96" s="487"/>
      <c r="O96" s="486">
        <f t="shared" si="9"/>
        <v>178750</v>
      </c>
    </row>
    <row r="97" spans="1:15" s="440" customFormat="1" x14ac:dyDescent="0.2">
      <c r="A97" s="388" t="s">
        <v>1229</v>
      </c>
      <c r="B97" s="389"/>
      <c r="C97" s="390"/>
      <c r="D97" s="482"/>
      <c r="E97" s="388"/>
      <c r="F97" s="391"/>
      <c r="G97" s="391"/>
      <c r="H97" s="392"/>
      <c r="I97" s="393">
        <f>SUM(I98:I101)</f>
        <v>535763</v>
      </c>
      <c r="J97" s="393">
        <f t="shared" ref="J97:O97" si="10">SUM(J98:J101)</f>
        <v>88000</v>
      </c>
      <c r="K97" s="393">
        <f t="shared" si="10"/>
        <v>88000</v>
      </c>
      <c r="L97" s="393">
        <f t="shared" si="10"/>
        <v>8407.5</v>
      </c>
      <c r="M97" s="393">
        <f t="shared" si="10"/>
        <v>8407.5</v>
      </c>
      <c r="N97" s="393"/>
      <c r="O97" s="393">
        <f t="shared" si="10"/>
        <v>342948</v>
      </c>
    </row>
    <row r="98" spans="1:15" s="440" customFormat="1" ht="93.75" x14ac:dyDescent="0.2">
      <c r="A98" s="438">
        <v>1</v>
      </c>
      <c r="B98" s="437" t="s">
        <v>2566</v>
      </c>
      <c r="C98" s="439" t="s">
        <v>2567</v>
      </c>
      <c r="D98" s="484" t="s">
        <v>2568</v>
      </c>
      <c r="E98" s="485" t="s">
        <v>1885</v>
      </c>
      <c r="F98" s="435" t="s">
        <v>1229</v>
      </c>
      <c r="G98" s="435" t="s">
        <v>1198</v>
      </c>
      <c r="H98" s="436" t="s">
        <v>2783</v>
      </c>
      <c r="I98" s="486">
        <v>168150</v>
      </c>
      <c r="J98" s="486">
        <v>0</v>
      </c>
      <c r="K98" s="486">
        <v>0</v>
      </c>
      <c r="L98" s="486">
        <v>8407.5</v>
      </c>
      <c r="M98" s="486">
        <v>8407.5</v>
      </c>
      <c r="N98" s="487"/>
      <c r="O98" s="486">
        <f>+I98-(SUM(J98:N98))</f>
        <v>151335</v>
      </c>
    </row>
    <row r="99" spans="1:15" s="440" customFormat="1" ht="150" x14ac:dyDescent="0.2">
      <c r="A99" s="438">
        <v>2</v>
      </c>
      <c r="B99" s="437" t="s">
        <v>2591</v>
      </c>
      <c r="C99" s="439" t="s">
        <v>2592</v>
      </c>
      <c r="D99" s="484" t="s">
        <v>2593</v>
      </c>
      <c r="E99" s="485" t="s">
        <v>1885</v>
      </c>
      <c r="F99" s="435" t="s">
        <v>1229</v>
      </c>
      <c r="G99" s="435" t="s">
        <v>930</v>
      </c>
      <c r="H99" s="436" t="s">
        <v>2784</v>
      </c>
      <c r="I99" s="486">
        <v>266306</v>
      </c>
      <c r="J99" s="486">
        <v>87500</v>
      </c>
      <c r="K99" s="486">
        <v>87500</v>
      </c>
      <c r="L99" s="486">
        <v>0</v>
      </c>
      <c r="M99" s="486">
        <v>0</v>
      </c>
      <c r="N99" s="487"/>
      <c r="O99" s="486">
        <f>+I99-(SUM(J99:N99))</f>
        <v>91306</v>
      </c>
    </row>
    <row r="100" spans="1:15" s="440" customFormat="1" ht="168.75" x14ac:dyDescent="0.2">
      <c r="A100" s="438">
        <v>3</v>
      </c>
      <c r="B100" s="437" t="s">
        <v>2591</v>
      </c>
      <c r="C100" s="439" t="s">
        <v>2592</v>
      </c>
      <c r="D100" s="484" t="s">
        <v>2593</v>
      </c>
      <c r="E100" s="485" t="s">
        <v>1886</v>
      </c>
      <c r="F100" s="435" t="s">
        <v>1229</v>
      </c>
      <c r="G100" s="435" t="s">
        <v>2154</v>
      </c>
      <c r="H100" s="436" t="s">
        <v>2785</v>
      </c>
      <c r="I100" s="486">
        <v>91307</v>
      </c>
      <c r="J100" s="486">
        <v>0</v>
      </c>
      <c r="K100" s="486">
        <v>0</v>
      </c>
      <c r="L100" s="486">
        <v>0</v>
      </c>
      <c r="M100" s="486">
        <v>0</v>
      </c>
      <c r="N100" s="487" t="s">
        <v>1631</v>
      </c>
      <c r="O100" s="486">
        <f>+I100-(SUM(J100:N100))</f>
        <v>91307</v>
      </c>
    </row>
    <row r="101" spans="1:15" s="440" customFormat="1" ht="168.75" x14ac:dyDescent="0.2">
      <c r="A101" s="438">
        <v>4</v>
      </c>
      <c r="B101" s="437" t="s">
        <v>2703</v>
      </c>
      <c r="C101" s="439" t="s">
        <v>2786</v>
      </c>
      <c r="D101" s="484" t="s">
        <v>2787</v>
      </c>
      <c r="E101" s="485" t="s">
        <v>1891</v>
      </c>
      <c r="F101" s="435" t="s">
        <v>1229</v>
      </c>
      <c r="G101" s="435" t="s">
        <v>2788</v>
      </c>
      <c r="H101" s="436" t="s">
        <v>2789</v>
      </c>
      <c r="I101" s="486">
        <v>10000</v>
      </c>
      <c r="J101" s="486">
        <v>500</v>
      </c>
      <c r="K101" s="486">
        <v>500</v>
      </c>
      <c r="L101" s="486">
        <v>0</v>
      </c>
      <c r="M101" s="486">
        <v>0</v>
      </c>
      <c r="N101" s="487"/>
      <c r="O101" s="486">
        <f>+I101-(SUM(J101:N101))</f>
        <v>9000</v>
      </c>
    </row>
    <row r="102" spans="1:15" s="440" customFormat="1" x14ac:dyDescent="0.2">
      <c r="A102" s="388" t="s">
        <v>19</v>
      </c>
      <c r="B102" s="389"/>
      <c r="C102" s="390"/>
      <c r="D102" s="482"/>
      <c r="E102" s="388"/>
      <c r="F102" s="391"/>
      <c r="G102" s="391"/>
      <c r="H102" s="392"/>
      <c r="I102" s="393">
        <f>SUM(I103:I113)</f>
        <v>3157400</v>
      </c>
      <c r="J102" s="393">
        <f t="shared" ref="J102:M102" si="11">SUM(J103:J113)</f>
        <v>13500</v>
      </c>
      <c r="K102" s="393">
        <f t="shared" si="11"/>
        <v>13500</v>
      </c>
      <c r="L102" s="393">
        <f t="shared" si="11"/>
        <v>49950</v>
      </c>
      <c r="M102" s="393">
        <f t="shared" si="11"/>
        <v>49950</v>
      </c>
      <c r="N102" s="393"/>
      <c r="O102" s="393">
        <f>SUM(O103:O113)</f>
        <v>3030500</v>
      </c>
    </row>
    <row r="103" spans="1:15" s="440" customFormat="1" ht="112.5" x14ac:dyDescent="0.2">
      <c r="A103" s="438">
        <v>1</v>
      </c>
      <c r="B103" s="437" t="s">
        <v>2443</v>
      </c>
      <c r="C103" s="439" t="s">
        <v>2550</v>
      </c>
      <c r="D103" s="484" t="s">
        <v>2454</v>
      </c>
      <c r="E103" s="485" t="s">
        <v>2138</v>
      </c>
      <c r="F103" s="435" t="s">
        <v>19</v>
      </c>
      <c r="G103" s="435" t="s">
        <v>1198</v>
      </c>
      <c r="H103" s="436" t="s">
        <v>2790</v>
      </c>
      <c r="I103" s="486">
        <v>171000</v>
      </c>
      <c r="J103" s="486">
        <v>0</v>
      </c>
      <c r="K103" s="486">
        <v>0</v>
      </c>
      <c r="L103" s="486">
        <v>8550</v>
      </c>
      <c r="M103" s="486">
        <v>8550</v>
      </c>
      <c r="N103" s="489"/>
      <c r="O103" s="486">
        <f t="shared" ref="O103:O113" si="12">+I103-(SUM(J103:N103))</f>
        <v>153900</v>
      </c>
    </row>
    <row r="104" spans="1:15" s="440" customFormat="1" ht="112.5" x14ac:dyDescent="0.2">
      <c r="A104" s="438">
        <v>2</v>
      </c>
      <c r="B104" s="437" t="s">
        <v>2559</v>
      </c>
      <c r="C104" s="439" t="s">
        <v>2569</v>
      </c>
      <c r="D104" s="484" t="s">
        <v>2570</v>
      </c>
      <c r="E104" s="485" t="s">
        <v>2138</v>
      </c>
      <c r="F104" s="435" t="s">
        <v>19</v>
      </c>
      <c r="G104" s="435" t="s">
        <v>1198</v>
      </c>
      <c r="H104" s="436" t="s">
        <v>2791</v>
      </c>
      <c r="I104" s="486">
        <v>114000</v>
      </c>
      <c r="J104" s="486">
        <v>0</v>
      </c>
      <c r="K104" s="486">
        <v>0</v>
      </c>
      <c r="L104" s="486">
        <v>5700</v>
      </c>
      <c r="M104" s="486">
        <v>5700</v>
      </c>
      <c r="N104" s="489"/>
      <c r="O104" s="486">
        <f t="shared" si="12"/>
        <v>102600</v>
      </c>
    </row>
    <row r="105" spans="1:15" s="440" customFormat="1" ht="93.75" x14ac:dyDescent="0.2">
      <c r="A105" s="438">
        <v>3</v>
      </c>
      <c r="B105" s="437" t="s">
        <v>2599</v>
      </c>
      <c r="C105" s="439" t="s">
        <v>2600</v>
      </c>
      <c r="D105" s="484" t="s">
        <v>2601</v>
      </c>
      <c r="E105" s="485" t="s">
        <v>2602</v>
      </c>
      <c r="F105" s="435" t="s">
        <v>19</v>
      </c>
      <c r="G105" s="435" t="s">
        <v>2603</v>
      </c>
      <c r="H105" s="436" t="s">
        <v>2792</v>
      </c>
      <c r="I105" s="486">
        <v>150000</v>
      </c>
      <c r="J105" s="486">
        <v>7500</v>
      </c>
      <c r="K105" s="486">
        <v>7500</v>
      </c>
      <c r="L105" s="486">
        <v>0</v>
      </c>
      <c r="M105" s="486">
        <v>0</v>
      </c>
      <c r="N105" s="489"/>
      <c r="O105" s="486">
        <f t="shared" si="12"/>
        <v>135000</v>
      </c>
    </row>
    <row r="106" spans="1:15" s="440" customFormat="1" ht="187.5" x14ac:dyDescent="0.2">
      <c r="A106" s="438">
        <v>4</v>
      </c>
      <c r="B106" s="437" t="s">
        <v>2628</v>
      </c>
      <c r="C106" s="439" t="s">
        <v>2629</v>
      </c>
      <c r="D106" s="484" t="s">
        <v>2630</v>
      </c>
      <c r="E106" s="485" t="s">
        <v>2631</v>
      </c>
      <c r="F106" s="435" t="s">
        <v>19</v>
      </c>
      <c r="G106" s="435" t="s">
        <v>1198</v>
      </c>
      <c r="H106" s="436" t="s">
        <v>2793</v>
      </c>
      <c r="I106" s="486">
        <v>285000</v>
      </c>
      <c r="J106" s="486">
        <v>0</v>
      </c>
      <c r="K106" s="486">
        <v>0</v>
      </c>
      <c r="L106" s="486">
        <v>14250</v>
      </c>
      <c r="M106" s="486">
        <v>14250</v>
      </c>
      <c r="N106" s="487"/>
      <c r="O106" s="486">
        <f t="shared" si="12"/>
        <v>256500</v>
      </c>
    </row>
    <row r="107" spans="1:15" s="440" customFormat="1" ht="225" x14ac:dyDescent="0.2">
      <c r="A107" s="438">
        <v>5</v>
      </c>
      <c r="B107" s="437">
        <v>243747</v>
      </c>
      <c r="C107" s="439" t="s">
        <v>2650</v>
      </c>
      <c r="D107" s="484" t="s">
        <v>2651</v>
      </c>
      <c r="E107" s="485" t="s">
        <v>2194</v>
      </c>
      <c r="F107" s="435" t="s">
        <v>19</v>
      </c>
      <c r="G107" s="435" t="s">
        <v>2652</v>
      </c>
      <c r="H107" s="436" t="s">
        <v>2794</v>
      </c>
      <c r="I107" s="486">
        <v>120000</v>
      </c>
      <c r="J107" s="486">
        <v>6000</v>
      </c>
      <c r="K107" s="486">
        <v>6000</v>
      </c>
      <c r="L107" s="486">
        <v>0</v>
      </c>
      <c r="M107" s="486">
        <v>0</v>
      </c>
      <c r="N107" s="487"/>
      <c r="O107" s="486">
        <f t="shared" si="12"/>
        <v>108000</v>
      </c>
    </row>
    <row r="108" spans="1:15" s="440" customFormat="1" ht="112.5" x14ac:dyDescent="0.2">
      <c r="A108" s="438">
        <v>6</v>
      </c>
      <c r="B108" s="437">
        <v>243747</v>
      </c>
      <c r="C108" s="439" t="s">
        <v>2653</v>
      </c>
      <c r="D108" s="484" t="s">
        <v>2654</v>
      </c>
      <c r="E108" s="485" t="s">
        <v>2138</v>
      </c>
      <c r="F108" s="435" t="s">
        <v>19</v>
      </c>
      <c r="G108" s="435" t="s">
        <v>1198</v>
      </c>
      <c r="H108" s="436" t="s">
        <v>2795</v>
      </c>
      <c r="I108" s="486">
        <v>114000</v>
      </c>
      <c r="J108" s="486">
        <v>0</v>
      </c>
      <c r="K108" s="486">
        <v>0</v>
      </c>
      <c r="L108" s="486">
        <v>5700</v>
      </c>
      <c r="M108" s="486">
        <v>5700</v>
      </c>
      <c r="N108" s="487"/>
      <c r="O108" s="486">
        <f t="shared" si="12"/>
        <v>102600</v>
      </c>
    </row>
    <row r="109" spans="1:15" s="440" customFormat="1" ht="112.5" x14ac:dyDescent="0.2">
      <c r="A109" s="438">
        <v>7</v>
      </c>
      <c r="B109" s="437">
        <v>243773</v>
      </c>
      <c r="C109" s="439" t="s">
        <v>2676</v>
      </c>
      <c r="D109" s="484" t="s">
        <v>2677</v>
      </c>
      <c r="E109" s="485" t="s">
        <v>2138</v>
      </c>
      <c r="F109" s="435" t="s">
        <v>19</v>
      </c>
      <c r="G109" s="435" t="s">
        <v>1198</v>
      </c>
      <c r="H109" s="436" t="s">
        <v>2796</v>
      </c>
      <c r="I109" s="486">
        <v>30000</v>
      </c>
      <c r="J109" s="486">
        <v>0</v>
      </c>
      <c r="K109" s="486">
        <v>0</v>
      </c>
      <c r="L109" s="486">
        <v>1500</v>
      </c>
      <c r="M109" s="486">
        <v>1500</v>
      </c>
      <c r="N109" s="487"/>
      <c r="O109" s="486">
        <f t="shared" si="12"/>
        <v>27000</v>
      </c>
    </row>
    <row r="110" spans="1:15" s="440" customFormat="1" ht="225" x14ac:dyDescent="0.2">
      <c r="A110" s="438">
        <v>8</v>
      </c>
      <c r="B110" s="437" t="s">
        <v>2697</v>
      </c>
      <c r="C110" s="439" t="s">
        <v>2698</v>
      </c>
      <c r="D110" s="484" t="s">
        <v>2699</v>
      </c>
      <c r="E110" s="485" t="s">
        <v>2138</v>
      </c>
      <c r="F110" s="435" t="s">
        <v>19</v>
      </c>
      <c r="G110" s="435" t="s">
        <v>1763</v>
      </c>
      <c r="H110" s="436" t="s">
        <v>2797</v>
      </c>
      <c r="I110" s="486">
        <v>671000</v>
      </c>
      <c r="J110" s="486">
        <v>0</v>
      </c>
      <c r="K110" s="486">
        <v>0</v>
      </c>
      <c r="L110" s="486">
        <v>0</v>
      </c>
      <c r="M110" s="486">
        <v>0</v>
      </c>
      <c r="N110" s="487" t="s">
        <v>1786</v>
      </c>
      <c r="O110" s="486">
        <f t="shared" si="12"/>
        <v>671000</v>
      </c>
    </row>
    <row r="111" spans="1:15" s="440" customFormat="1" ht="187.5" x14ac:dyDescent="0.2">
      <c r="A111" s="438">
        <v>9</v>
      </c>
      <c r="B111" s="437" t="s">
        <v>2697</v>
      </c>
      <c r="C111" s="439" t="s">
        <v>2698</v>
      </c>
      <c r="D111" s="484" t="s">
        <v>2699</v>
      </c>
      <c r="E111" s="485" t="s">
        <v>2198</v>
      </c>
      <c r="F111" s="435" t="s">
        <v>19</v>
      </c>
      <c r="G111" s="435" t="s">
        <v>1763</v>
      </c>
      <c r="H111" s="436" t="s">
        <v>2798</v>
      </c>
      <c r="I111" s="486">
        <v>671000</v>
      </c>
      <c r="J111" s="486">
        <v>0</v>
      </c>
      <c r="K111" s="486">
        <v>0</v>
      </c>
      <c r="L111" s="486">
        <v>0</v>
      </c>
      <c r="M111" s="486">
        <v>0</v>
      </c>
      <c r="N111" s="487" t="s">
        <v>1786</v>
      </c>
      <c r="O111" s="486">
        <f t="shared" si="12"/>
        <v>671000</v>
      </c>
    </row>
    <row r="112" spans="1:15" s="440" customFormat="1" ht="168.75" x14ac:dyDescent="0.2">
      <c r="A112" s="438">
        <v>10</v>
      </c>
      <c r="B112" s="437" t="s">
        <v>2836</v>
      </c>
      <c r="C112" s="439" t="s">
        <v>2874</v>
      </c>
      <c r="D112" s="484" t="s">
        <v>2875</v>
      </c>
      <c r="E112" s="485" t="s">
        <v>2881</v>
      </c>
      <c r="F112" s="435" t="s">
        <v>19</v>
      </c>
      <c r="G112" s="435" t="s">
        <v>1763</v>
      </c>
      <c r="H112" s="436" t="s">
        <v>2882</v>
      </c>
      <c r="I112" s="486">
        <v>546400</v>
      </c>
      <c r="J112" s="486">
        <v>0</v>
      </c>
      <c r="K112" s="486">
        <v>0</v>
      </c>
      <c r="L112" s="486">
        <v>0</v>
      </c>
      <c r="M112" s="486">
        <v>0</v>
      </c>
      <c r="N112" s="487" t="s">
        <v>1786</v>
      </c>
      <c r="O112" s="486">
        <f t="shared" si="12"/>
        <v>546400</v>
      </c>
    </row>
    <row r="113" spans="1:15" s="440" customFormat="1" ht="187.5" x14ac:dyDescent="0.2">
      <c r="A113" s="438">
        <v>11</v>
      </c>
      <c r="B113" s="437" t="s">
        <v>2828</v>
      </c>
      <c r="C113" s="439" t="s">
        <v>2883</v>
      </c>
      <c r="D113" s="484" t="s">
        <v>2884</v>
      </c>
      <c r="E113" s="485" t="s">
        <v>2631</v>
      </c>
      <c r="F113" s="435" t="s">
        <v>19</v>
      </c>
      <c r="G113" s="435" t="s">
        <v>1198</v>
      </c>
      <c r="H113" s="436" t="s">
        <v>2885</v>
      </c>
      <c r="I113" s="486">
        <v>285000</v>
      </c>
      <c r="J113" s="486">
        <v>0</v>
      </c>
      <c r="K113" s="486">
        <v>0</v>
      </c>
      <c r="L113" s="486">
        <v>14250</v>
      </c>
      <c r="M113" s="486">
        <v>14250</v>
      </c>
      <c r="N113" s="487"/>
      <c r="O113" s="486">
        <f t="shared" si="12"/>
        <v>256500</v>
      </c>
    </row>
    <row r="114" spans="1:15" s="440" customFormat="1" x14ac:dyDescent="0.2">
      <c r="A114" s="388" t="s">
        <v>117</v>
      </c>
      <c r="B114" s="389"/>
      <c r="C114" s="390"/>
      <c r="D114" s="482"/>
      <c r="E114" s="388"/>
      <c r="F114" s="391"/>
      <c r="G114" s="391"/>
      <c r="H114" s="392"/>
      <c r="I114" s="393">
        <f>SUM(I115:I134)</f>
        <v>4633050</v>
      </c>
      <c r="J114" s="393">
        <f t="shared" ref="J114:O114" si="13">SUM(J115:J134)</f>
        <v>207750</v>
      </c>
      <c r="K114" s="393">
        <f t="shared" si="13"/>
        <v>207750</v>
      </c>
      <c r="L114" s="393">
        <f t="shared" si="13"/>
        <v>9500</v>
      </c>
      <c r="M114" s="393">
        <f t="shared" si="13"/>
        <v>9500</v>
      </c>
      <c r="N114" s="393"/>
      <c r="O114" s="393">
        <f t="shared" si="13"/>
        <v>4198550</v>
      </c>
    </row>
    <row r="115" spans="1:15" s="440" customFormat="1" ht="150" x14ac:dyDescent="0.2">
      <c r="A115" s="438">
        <v>1</v>
      </c>
      <c r="B115" s="437" t="s">
        <v>2435</v>
      </c>
      <c r="C115" s="439" t="s">
        <v>2448</v>
      </c>
      <c r="D115" s="484" t="s">
        <v>2449</v>
      </c>
      <c r="E115" s="485" t="s">
        <v>2205</v>
      </c>
      <c r="F115" s="435" t="s">
        <v>117</v>
      </c>
      <c r="G115" s="435" t="s">
        <v>1763</v>
      </c>
      <c r="H115" s="436" t="s">
        <v>2712</v>
      </c>
      <c r="I115" s="486">
        <v>288050</v>
      </c>
      <c r="J115" s="486">
        <v>0</v>
      </c>
      <c r="K115" s="486">
        <v>0</v>
      </c>
      <c r="L115" s="486">
        <v>0</v>
      </c>
      <c r="M115" s="486">
        <v>0</v>
      </c>
      <c r="N115" s="487" t="s">
        <v>1786</v>
      </c>
      <c r="O115" s="486">
        <f t="shared" ref="O115:O134" si="14">+I115-(SUM(J115:N115))</f>
        <v>288050</v>
      </c>
    </row>
    <row r="116" spans="1:15" s="440" customFormat="1" ht="93.75" x14ac:dyDescent="0.2">
      <c r="A116" s="438">
        <v>2</v>
      </c>
      <c r="B116" s="437" t="s">
        <v>2455</v>
      </c>
      <c r="C116" s="439" t="s">
        <v>2456</v>
      </c>
      <c r="D116" s="484" t="s">
        <v>2457</v>
      </c>
      <c r="E116" s="485" t="s">
        <v>115</v>
      </c>
      <c r="F116" s="435" t="s">
        <v>117</v>
      </c>
      <c r="G116" s="435" t="s">
        <v>2458</v>
      </c>
      <c r="H116" s="436" t="s">
        <v>1766</v>
      </c>
      <c r="I116" s="486">
        <v>255000</v>
      </c>
      <c r="J116" s="486">
        <v>12750</v>
      </c>
      <c r="K116" s="486">
        <v>12750</v>
      </c>
      <c r="L116" s="486">
        <v>0</v>
      </c>
      <c r="M116" s="486">
        <v>0</v>
      </c>
      <c r="N116" s="489"/>
      <c r="O116" s="486">
        <f t="shared" si="14"/>
        <v>229500</v>
      </c>
    </row>
    <row r="117" spans="1:15" s="440" customFormat="1" ht="93.75" x14ac:dyDescent="0.2">
      <c r="A117" s="438">
        <v>3</v>
      </c>
      <c r="B117" s="437" t="s">
        <v>2481</v>
      </c>
      <c r="C117" s="439" t="s">
        <v>2482</v>
      </c>
      <c r="D117" s="484" t="s">
        <v>2483</v>
      </c>
      <c r="E117" s="485" t="s">
        <v>115</v>
      </c>
      <c r="F117" s="435" t="s">
        <v>117</v>
      </c>
      <c r="G117" s="435" t="s">
        <v>544</v>
      </c>
      <c r="H117" s="436" t="s">
        <v>1766</v>
      </c>
      <c r="I117" s="486">
        <v>407000</v>
      </c>
      <c r="J117" s="486">
        <v>20350</v>
      </c>
      <c r="K117" s="486">
        <v>20350</v>
      </c>
      <c r="L117" s="486">
        <v>0</v>
      </c>
      <c r="M117" s="486">
        <v>0</v>
      </c>
      <c r="N117" s="489"/>
      <c r="O117" s="486">
        <f t="shared" si="14"/>
        <v>366300</v>
      </c>
    </row>
    <row r="118" spans="1:15" s="440" customFormat="1" ht="93.75" x14ac:dyDescent="0.2">
      <c r="A118" s="438">
        <v>4</v>
      </c>
      <c r="B118" s="437" t="s">
        <v>2484</v>
      </c>
      <c r="C118" s="439" t="s">
        <v>2485</v>
      </c>
      <c r="D118" s="484" t="s">
        <v>2486</v>
      </c>
      <c r="E118" s="485" t="s">
        <v>2201</v>
      </c>
      <c r="F118" s="435" t="s">
        <v>117</v>
      </c>
      <c r="G118" s="435" t="s">
        <v>1198</v>
      </c>
      <c r="H118" s="436" t="s">
        <v>2713</v>
      </c>
      <c r="I118" s="486">
        <v>152000</v>
      </c>
      <c r="J118" s="486">
        <v>7600</v>
      </c>
      <c r="K118" s="486">
        <v>7600</v>
      </c>
      <c r="L118" s="486">
        <v>0</v>
      </c>
      <c r="M118" s="486">
        <v>0</v>
      </c>
      <c r="N118" s="489"/>
      <c r="O118" s="486">
        <f t="shared" si="14"/>
        <v>136800</v>
      </c>
    </row>
    <row r="119" spans="1:15" s="440" customFormat="1" ht="93.75" x14ac:dyDescent="0.2">
      <c r="A119" s="438">
        <v>5</v>
      </c>
      <c r="B119" s="437" t="s">
        <v>2487</v>
      </c>
      <c r="C119" s="439" t="s">
        <v>2488</v>
      </c>
      <c r="D119" s="484" t="s">
        <v>2489</v>
      </c>
      <c r="E119" s="485" t="s">
        <v>115</v>
      </c>
      <c r="F119" s="435" t="s">
        <v>117</v>
      </c>
      <c r="G119" s="435" t="s">
        <v>278</v>
      </c>
      <c r="H119" s="436" t="s">
        <v>1766</v>
      </c>
      <c r="I119" s="486">
        <v>258000</v>
      </c>
      <c r="J119" s="486">
        <v>12900</v>
      </c>
      <c r="K119" s="486">
        <v>12900</v>
      </c>
      <c r="L119" s="486">
        <v>0</v>
      </c>
      <c r="M119" s="486">
        <v>0</v>
      </c>
      <c r="N119" s="489"/>
      <c r="O119" s="486">
        <f t="shared" si="14"/>
        <v>232200</v>
      </c>
    </row>
    <row r="120" spans="1:15" s="440" customFormat="1" ht="93.75" x14ac:dyDescent="0.2">
      <c r="A120" s="438">
        <v>6</v>
      </c>
      <c r="B120" s="437" t="s">
        <v>2521</v>
      </c>
      <c r="C120" s="439" t="s">
        <v>2522</v>
      </c>
      <c r="D120" s="484" t="s">
        <v>2523</v>
      </c>
      <c r="E120" s="485" t="s">
        <v>115</v>
      </c>
      <c r="F120" s="435" t="s">
        <v>117</v>
      </c>
      <c r="G120" s="435" t="s">
        <v>345</v>
      </c>
      <c r="H120" s="436" t="s">
        <v>1766</v>
      </c>
      <c r="I120" s="486">
        <v>142000</v>
      </c>
      <c r="J120" s="486">
        <v>7100</v>
      </c>
      <c r="K120" s="486">
        <v>7100</v>
      </c>
      <c r="L120" s="486">
        <v>0</v>
      </c>
      <c r="M120" s="486">
        <v>0</v>
      </c>
      <c r="N120" s="489"/>
      <c r="O120" s="486">
        <f t="shared" si="14"/>
        <v>127800</v>
      </c>
    </row>
    <row r="121" spans="1:15" s="440" customFormat="1" ht="112.5" x14ac:dyDescent="0.2">
      <c r="A121" s="438">
        <v>7</v>
      </c>
      <c r="B121" s="437" t="s">
        <v>2524</v>
      </c>
      <c r="C121" s="439" t="s">
        <v>2525</v>
      </c>
      <c r="D121" s="484" t="s">
        <v>2526</v>
      </c>
      <c r="E121" s="485" t="s">
        <v>302</v>
      </c>
      <c r="F121" s="435" t="s">
        <v>117</v>
      </c>
      <c r="G121" s="435" t="s">
        <v>444</v>
      </c>
      <c r="H121" s="436" t="s">
        <v>2527</v>
      </c>
      <c r="I121" s="486">
        <v>90000</v>
      </c>
      <c r="J121" s="486">
        <v>4500</v>
      </c>
      <c r="K121" s="486">
        <v>4500</v>
      </c>
      <c r="L121" s="486">
        <v>0</v>
      </c>
      <c r="M121" s="486">
        <v>0</v>
      </c>
      <c r="N121" s="489"/>
      <c r="O121" s="486">
        <f t="shared" si="14"/>
        <v>81000</v>
      </c>
    </row>
    <row r="122" spans="1:15" s="440" customFormat="1" ht="93.75" x14ac:dyDescent="0.2">
      <c r="A122" s="438">
        <v>8</v>
      </c>
      <c r="B122" s="437" t="s">
        <v>2551</v>
      </c>
      <c r="C122" s="439" t="s">
        <v>2552</v>
      </c>
      <c r="D122" s="484" t="s">
        <v>2553</v>
      </c>
      <c r="E122" s="485" t="s">
        <v>115</v>
      </c>
      <c r="F122" s="435" t="s">
        <v>117</v>
      </c>
      <c r="G122" s="435" t="s">
        <v>303</v>
      </c>
      <c r="H122" s="436" t="s">
        <v>1766</v>
      </c>
      <c r="I122" s="486">
        <v>39000</v>
      </c>
      <c r="J122" s="486">
        <v>1950</v>
      </c>
      <c r="K122" s="486">
        <v>1950</v>
      </c>
      <c r="L122" s="486">
        <v>0</v>
      </c>
      <c r="M122" s="486">
        <v>0</v>
      </c>
      <c r="N122" s="489"/>
      <c r="O122" s="486">
        <f t="shared" si="14"/>
        <v>35100</v>
      </c>
    </row>
    <row r="123" spans="1:15" s="440" customFormat="1" ht="93.75" x14ac:dyDescent="0.2">
      <c r="A123" s="438">
        <v>9</v>
      </c>
      <c r="B123" s="437" t="s">
        <v>2632</v>
      </c>
      <c r="C123" s="439" t="s">
        <v>2633</v>
      </c>
      <c r="D123" s="484" t="s">
        <v>2634</v>
      </c>
      <c r="E123" s="485" t="s">
        <v>115</v>
      </c>
      <c r="F123" s="435" t="s">
        <v>117</v>
      </c>
      <c r="G123" s="435" t="s">
        <v>318</v>
      </c>
      <c r="H123" s="436" t="s">
        <v>1766</v>
      </c>
      <c r="I123" s="486">
        <v>19000</v>
      </c>
      <c r="J123" s="486">
        <v>950</v>
      </c>
      <c r="K123" s="486">
        <v>950</v>
      </c>
      <c r="L123" s="486">
        <v>0</v>
      </c>
      <c r="M123" s="486">
        <v>0</v>
      </c>
      <c r="N123" s="487"/>
      <c r="O123" s="486">
        <f t="shared" si="14"/>
        <v>17100</v>
      </c>
    </row>
    <row r="124" spans="1:15" s="440" customFormat="1" ht="93.75" x14ac:dyDescent="0.2">
      <c r="A124" s="438">
        <v>10</v>
      </c>
      <c r="B124" s="437" t="s">
        <v>2635</v>
      </c>
      <c r="C124" s="439" t="s">
        <v>2636</v>
      </c>
      <c r="D124" s="484" t="s">
        <v>2637</v>
      </c>
      <c r="E124" s="485" t="s">
        <v>115</v>
      </c>
      <c r="F124" s="435" t="s">
        <v>117</v>
      </c>
      <c r="G124" s="435" t="s">
        <v>318</v>
      </c>
      <c r="H124" s="436" t="s">
        <v>1766</v>
      </c>
      <c r="I124" s="486">
        <v>20000</v>
      </c>
      <c r="J124" s="486">
        <v>1000</v>
      </c>
      <c r="K124" s="486">
        <v>1000</v>
      </c>
      <c r="L124" s="486">
        <v>0</v>
      </c>
      <c r="M124" s="486">
        <v>0</v>
      </c>
      <c r="N124" s="487"/>
      <c r="O124" s="486">
        <f t="shared" si="14"/>
        <v>18000</v>
      </c>
    </row>
    <row r="125" spans="1:15" s="440" customFormat="1" ht="93.75" x14ac:dyDescent="0.2">
      <c r="A125" s="438">
        <v>11</v>
      </c>
      <c r="B125" s="437">
        <v>243747</v>
      </c>
      <c r="C125" s="439" t="s">
        <v>2655</v>
      </c>
      <c r="D125" s="484" t="s">
        <v>2656</v>
      </c>
      <c r="E125" s="485" t="s">
        <v>2201</v>
      </c>
      <c r="F125" s="435" t="s">
        <v>117</v>
      </c>
      <c r="G125" s="435" t="s">
        <v>1198</v>
      </c>
      <c r="H125" s="436" t="s">
        <v>2714</v>
      </c>
      <c r="I125" s="486">
        <v>114000</v>
      </c>
      <c r="J125" s="486">
        <v>5700</v>
      </c>
      <c r="K125" s="486">
        <v>5700</v>
      </c>
      <c r="L125" s="486">
        <v>0</v>
      </c>
      <c r="M125" s="486">
        <v>0</v>
      </c>
      <c r="N125" s="487"/>
      <c r="O125" s="486">
        <f t="shared" si="14"/>
        <v>102600</v>
      </c>
    </row>
    <row r="126" spans="1:15" s="440" customFormat="1" ht="93.75" x14ac:dyDescent="0.2">
      <c r="A126" s="438">
        <v>12</v>
      </c>
      <c r="B126" s="437">
        <v>243769</v>
      </c>
      <c r="C126" s="439" t="s">
        <v>2657</v>
      </c>
      <c r="D126" s="484" t="s">
        <v>2658</v>
      </c>
      <c r="E126" s="485" t="s">
        <v>115</v>
      </c>
      <c r="F126" s="435" t="s">
        <v>117</v>
      </c>
      <c r="G126" s="435" t="s">
        <v>318</v>
      </c>
      <c r="H126" s="436" t="s">
        <v>1766</v>
      </c>
      <c r="I126" s="486">
        <v>19000</v>
      </c>
      <c r="J126" s="486">
        <v>950</v>
      </c>
      <c r="K126" s="486">
        <v>950</v>
      </c>
      <c r="L126" s="486">
        <v>0</v>
      </c>
      <c r="M126" s="486">
        <v>0</v>
      </c>
      <c r="N126" s="487"/>
      <c r="O126" s="486">
        <f t="shared" si="14"/>
        <v>17100</v>
      </c>
    </row>
    <row r="127" spans="1:15" s="440" customFormat="1" ht="112.5" x14ac:dyDescent="0.2">
      <c r="A127" s="438">
        <v>13</v>
      </c>
      <c r="B127" s="437">
        <v>243788</v>
      </c>
      <c r="C127" s="439" t="s">
        <v>2678</v>
      </c>
      <c r="D127" s="484" t="s">
        <v>2679</v>
      </c>
      <c r="E127" s="485" t="s">
        <v>2680</v>
      </c>
      <c r="F127" s="435" t="s">
        <v>117</v>
      </c>
      <c r="G127" s="435" t="s">
        <v>1144</v>
      </c>
      <c r="H127" s="436" t="s">
        <v>2711</v>
      </c>
      <c r="I127" s="486">
        <v>190000</v>
      </c>
      <c r="J127" s="486">
        <v>0</v>
      </c>
      <c r="K127" s="486">
        <v>0</v>
      </c>
      <c r="L127" s="486">
        <v>9500</v>
      </c>
      <c r="M127" s="486">
        <v>9500</v>
      </c>
      <c r="N127" s="487"/>
      <c r="O127" s="486">
        <f t="shared" si="14"/>
        <v>171000</v>
      </c>
    </row>
    <row r="128" spans="1:15" s="440" customFormat="1" ht="93.75" x14ac:dyDescent="0.2">
      <c r="A128" s="438">
        <v>14</v>
      </c>
      <c r="B128" s="437" t="s">
        <v>2685</v>
      </c>
      <c r="C128" s="439" t="s">
        <v>2686</v>
      </c>
      <c r="D128" s="484" t="s">
        <v>2687</v>
      </c>
      <c r="E128" s="485" t="s">
        <v>2201</v>
      </c>
      <c r="F128" s="435" t="s">
        <v>117</v>
      </c>
      <c r="G128" s="435" t="s">
        <v>1198</v>
      </c>
      <c r="H128" s="436" t="s">
        <v>2715</v>
      </c>
      <c r="I128" s="486">
        <v>20000</v>
      </c>
      <c r="J128" s="486">
        <v>1000</v>
      </c>
      <c r="K128" s="486">
        <v>1000</v>
      </c>
      <c r="L128" s="486">
        <v>0</v>
      </c>
      <c r="M128" s="486">
        <v>0</v>
      </c>
      <c r="N128" s="487"/>
      <c r="O128" s="486">
        <f t="shared" si="14"/>
        <v>18000</v>
      </c>
    </row>
    <row r="129" spans="1:15" s="440" customFormat="1" ht="93.75" x14ac:dyDescent="0.2">
      <c r="A129" s="438">
        <v>15</v>
      </c>
      <c r="B129" s="437" t="s">
        <v>2886</v>
      </c>
      <c r="C129" s="439" t="s">
        <v>2887</v>
      </c>
      <c r="D129" s="484" t="s">
        <v>2888</v>
      </c>
      <c r="E129" s="485" t="s">
        <v>115</v>
      </c>
      <c r="F129" s="435" t="s">
        <v>117</v>
      </c>
      <c r="G129" s="435" t="s">
        <v>318</v>
      </c>
      <c r="H129" s="436" t="s">
        <v>1766</v>
      </c>
      <c r="I129" s="486">
        <v>20000</v>
      </c>
      <c r="J129" s="486">
        <v>1000</v>
      </c>
      <c r="K129" s="486">
        <v>1000</v>
      </c>
      <c r="L129" s="486">
        <v>0</v>
      </c>
      <c r="M129" s="486">
        <v>0</v>
      </c>
      <c r="N129" s="487"/>
      <c r="O129" s="486">
        <f t="shared" si="14"/>
        <v>18000</v>
      </c>
    </row>
    <row r="130" spans="1:15" s="440" customFormat="1" ht="93.75" x14ac:dyDescent="0.2">
      <c r="A130" s="438">
        <v>16</v>
      </c>
      <c r="B130" s="437" t="s">
        <v>2828</v>
      </c>
      <c r="C130" s="439" t="s">
        <v>2889</v>
      </c>
      <c r="D130" s="484" t="s">
        <v>2890</v>
      </c>
      <c r="E130" s="485" t="s">
        <v>115</v>
      </c>
      <c r="F130" s="435" t="s">
        <v>117</v>
      </c>
      <c r="G130" s="435" t="s">
        <v>318</v>
      </c>
      <c r="H130" s="436" t="s">
        <v>1766</v>
      </c>
      <c r="I130" s="486">
        <v>25000</v>
      </c>
      <c r="J130" s="486">
        <v>1250</v>
      </c>
      <c r="K130" s="486">
        <v>1250</v>
      </c>
      <c r="L130" s="486">
        <v>0</v>
      </c>
      <c r="M130" s="486">
        <v>0</v>
      </c>
      <c r="N130" s="487"/>
      <c r="O130" s="486">
        <f t="shared" si="14"/>
        <v>22500</v>
      </c>
    </row>
    <row r="131" spans="1:15" s="440" customFormat="1" ht="93.75" x14ac:dyDescent="0.2">
      <c r="A131" s="438">
        <v>17</v>
      </c>
      <c r="B131" s="437" t="s">
        <v>2828</v>
      </c>
      <c r="C131" s="439" t="s">
        <v>2456</v>
      </c>
      <c r="D131" s="484" t="s">
        <v>2891</v>
      </c>
      <c r="E131" s="485" t="s">
        <v>115</v>
      </c>
      <c r="F131" s="435" t="s">
        <v>117</v>
      </c>
      <c r="G131" s="435" t="s">
        <v>299</v>
      </c>
      <c r="H131" s="436" t="s">
        <v>1766</v>
      </c>
      <c r="I131" s="486">
        <v>530000</v>
      </c>
      <c r="J131" s="486">
        <v>26500</v>
      </c>
      <c r="K131" s="486">
        <v>26500</v>
      </c>
      <c r="L131" s="486">
        <v>0</v>
      </c>
      <c r="M131" s="486">
        <v>0</v>
      </c>
      <c r="N131" s="487"/>
      <c r="O131" s="486">
        <f t="shared" si="14"/>
        <v>477000</v>
      </c>
    </row>
    <row r="132" spans="1:15" s="440" customFormat="1" ht="93.75" x14ac:dyDescent="0.2">
      <c r="A132" s="438">
        <v>18</v>
      </c>
      <c r="B132" s="437" t="s">
        <v>2828</v>
      </c>
      <c r="C132" s="439" t="s">
        <v>2456</v>
      </c>
      <c r="D132" s="484" t="s">
        <v>2891</v>
      </c>
      <c r="E132" s="485" t="s">
        <v>115</v>
      </c>
      <c r="F132" s="435" t="s">
        <v>117</v>
      </c>
      <c r="G132" s="435" t="s">
        <v>289</v>
      </c>
      <c r="H132" s="436" t="s">
        <v>1766</v>
      </c>
      <c r="I132" s="486">
        <v>90000</v>
      </c>
      <c r="J132" s="486">
        <v>4500</v>
      </c>
      <c r="K132" s="486">
        <v>4500</v>
      </c>
      <c r="L132" s="486">
        <v>0</v>
      </c>
      <c r="M132" s="486">
        <v>0</v>
      </c>
      <c r="N132" s="487"/>
      <c r="O132" s="486">
        <f t="shared" si="14"/>
        <v>81000</v>
      </c>
    </row>
    <row r="133" spans="1:15" s="440" customFormat="1" ht="93.75" x14ac:dyDescent="0.2">
      <c r="A133" s="438">
        <v>19</v>
      </c>
      <c r="B133" s="437" t="s">
        <v>2828</v>
      </c>
      <c r="C133" s="490" t="s">
        <v>1109</v>
      </c>
      <c r="D133" s="484" t="s">
        <v>2892</v>
      </c>
      <c r="E133" s="485" t="s">
        <v>115</v>
      </c>
      <c r="F133" s="435" t="s">
        <v>117</v>
      </c>
      <c r="G133" s="435" t="s">
        <v>2893</v>
      </c>
      <c r="H133" s="436" t="s">
        <v>1766</v>
      </c>
      <c r="I133" s="486">
        <v>1930000</v>
      </c>
      <c r="J133" s="486">
        <v>96500</v>
      </c>
      <c r="K133" s="486">
        <v>96500</v>
      </c>
      <c r="L133" s="486">
        <v>0</v>
      </c>
      <c r="M133" s="486">
        <v>0</v>
      </c>
      <c r="N133" s="487"/>
      <c r="O133" s="486">
        <f t="shared" si="14"/>
        <v>1737000</v>
      </c>
    </row>
    <row r="134" spans="1:15" s="440" customFormat="1" ht="93.75" x14ac:dyDescent="0.2">
      <c r="A134" s="438">
        <v>20</v>
      </c>
      <c r="B134" s="437" t="s">
        <v>2828</v>
      </c>
      <c r="C134" s="490" t="s">
        <v>1109</v>
      </c>
      <c r="D134" s="484" t="s">
        <v>2892</v>
      </c>
      <c r="E134" s="485" t="s">
        <v>302</v>
      </c>
      <c r="F134" s="435" t="s">
        <v>117</v>
      </c>
      <c r="G134" s="435" t="s">
        <v>2894</v>
      </c>
      <c r="H134" s="436" t="s">
        <v>2895</v>
      </c>
      <c r="I134" s="486">
        <v>25000</v>
      </c>
      <c r="J134" s="486">
        <v>1250</v>
      </c>
      <c r="K134" s="486">
        <v>1250</v>
      </c>
      <c r="L134" s="486">
        <v>0</v>
      </c>
      <c r="M134" s="486">
        <v>0</v>
      </c>
      <c r="N134" s="487"/>
      <c r="O134" s="486">
        <f t="shared" si="14"/>
        <v>22500</v>
      </c>
    </row>
    <row r="135" spans="1:15" s="440" customFormat="1" x14ac:dyDescent="0.2">
      <c r="A135" s="388" t="s">
        <v>2818</v>
      </c>
      <c r="B135" s="389"/>
      <c r="C135" s="491"/>
      <c r="D135" s="482"/>
      <c r="E135" s="388"/>
      <c r="F135" s="391"/>
      <c r="G135" s="391"/>
      <c r="H135" s="392"/>
      <c r="I135" s="393">
        <f>SUM(I136)</f>
        <v>1269250</v>
      </c>
      <c r="J135" s="393">
        <f t="shared" ref="J135:O135" si="15">SUM(J136)</f>
        <v>0</v>
      </c>
      <c r="K135" s="393">
        <f t="shared" si="15"/>
        <v>0</v>
      </c>
      <c r="L135" s="393">
        <f t="shared" si="15"/>
        <v>0</v>
      </c>
      <c r="M135" s="393">
        <f t="shared" si="15"/>
        <v>0</v>
      </c>
      <c r="N135" s="393"/>
      <c r="O135" s="393">
        <f t="shared" si="15"/>
        <v>1269250</v>
      </c>
    </row>
    <row r="136" spans="1:15" s="440" customFormat="1" ht="168.75" x14ac:dyDescent="0.2">
      <c r="A136" s="438">
        <v>1</v>
      </c>
      <c r="B136" s="437" t="s">
        <v>2819</v>
      </c>
      <c r="C136" s="439" t="s">
        <v>2820</v>
      </c>
      <c r="D136" s="484" t="s">
        <v>2821</v>
      </c>
      <c r="E136" s="485" t="s">
        <v>2896</v>
      </c>
      <c r="F136" s="435" t="s">
        <v>2818</v>
      </c>
      <c r="G136" s="435" t="s">
        <v>1763</v>
      </c>
      <c r="H136" s="436" t="s">
        <v>2897</v>
      </c>
      <c r="I136" s="486">
        <v>1269250</v>
      </c>
      <c r="J136" s="486">
        <v>0</v>
      </c>
      <c r="K136" s="486">
        <v>0</v>
      </c>
      <c r="L136" s="486">
        <v>0</v>
      </c>
      <c r="M136" s="486">
        <v>0</v>
      </c>
      <c r="N136" s="487" t="s">
        <v>1786</v>
      </c>
      <c r="O136" s="486">
        <f>+I136-(SUM(J136:N136))</f>
        <v>1269250</v>
      </c>
    </row>
    <row r="137" spans="1:15" s="440" customFormat="1" x14ac:dyDescent="0.2">
      <c r="A137" s="388" t="s">
        <v>706</v>
      </c>
      <c r="B137" s="389"/>
      <c r="C137" s="390"/>
      <c r="D137" s="482"/>
      <c r="E137" s="388"/>
      <c r="F137" s="391"/>
      <c r="G137" s="391"/>
      <c r="H137" s="392"/>
      <c r="I137" s="393">
        <f>SUM(I138:I143)</f>
        <v>1747532</v>
      </c>
      <c r="J137" s="393">
        <f t="shared" ref="J137:O137" si="16">SUM(J138:J143)</f>
        <v>0</v>
      </c>
      <c r="K137" s="393">
        <f t="shared" si="16"/>
        <v>0</v>
      </c>
      <c r="L137" s="393">
        <f t="shared" si="16"/>
        <v>6750</v>
      </c>
      <c r="M137" s="393">
        <f t="shared" si="16"/>
        <v>6750</v>
      </c>
      <c r="N137" s="393"/>
      <c r="O137" s="393">
        <f t="shared" si="16"/>
        <v>1734032</v>
      </c>
    </row>
    <row r="138" spans="1:15" s="440" customFormat="1" ht="243.75" x14ac:dyDescent="0.2">
      <c r="A138" s="438">
        <v>1</v>
      </c>
      <c r="B138" s="437" t="s">
        <v>2438</v>
      </c>
      <c r="C138" s="439" t="s">
        <v>2459</v>
      </c>
      <c r="D138" s="484" t="s">
        <v>2460</v>
      </c>
      <c r="E138" s="485" t="s">
        <v>1704</v>
      </c>
      <c r="F138" s="435" t="s">
        <v>706</v>
      </c>
      <c r="G138" s="435" t="s">
        <v>2461</v>
      </c>
      <c r="H138" s="436" t="s">
        <v>2799</v>
      </c>
      <c r="I138" s="486">
        <v>75000</v>
      </c>
      <c r="J138" s="486">
        <v>0</v>
      </c>
      <c r="K138" s="486">
        <v>0</v>
      </c>
      <c r="L138" s="486">
        <v>0</v>
      </c>
      <c r="M138" s="486">
        <v>0</v>
      </c>
      <c r="N138" s="487" t="s">
        <v>2182</v>
      </c>
      <c r="O138" s="486">
        <f t="shared" ref="O138:O143" si="17">+I138-(SUM(J138:N138))</f>
        <v>75000</v>
      </c>
    </row>
    <row r="139" spans="1:15" s="440" customFormat="1" ht="112.5" x14ac:dyDescent="0.2">
      <c r="A139" s="438">
        <v>2</v>
      </c>
      <c r="B139" s="437" t="s">
        <v>2435</v>
      </c>
      <c r="C139" s="439" t="s">
        <v>2448</v>
      </c>
      <c r="D139" s="484" t="s">
        <v>2449</v>
      </c>
      <c r="E139" s="485" t="s">
        <v>1733</v>
      </c>
      <c r="F139" s="435" t="s">
        <v>706</v>
      </c>
      <c r="G139" s="435" t="s">
        <v>2154</v>
      </c>
      <c r="H139" s="436" t="s">
        <v>2800</v>
      </c>
      <c r="I139" s="486">
        <v>178500</v>
      </c>
      <c r="J139" s="486">
        <v>0</v>
      </c>
      <c r="K139" s="486">
        <v>0</v>
      </c>
      <c r="L139" s="486">
        <v>0</v>
      </c>
      <c r="M139" s="486">
        <v>0</v>
      </c>
      <c r="N139" s="487" t="s">
        <v>1786</v>
      </c>
      <c r="O139" s="486">
        <f t="shared" si="17"/>
        <v>178500</v>
      </c>
    </row>
    <row r="140" spans="1:15" s="440" customFormat="1" ht="187.5" x14ac:dyDescent="0.2">
      <c r="A140" s="438">
        <v>3</v>
      </c>
      <c r="B140" s="437" t="s">
        <v>2435</v>
      </c>
      <c r="C140" s="439" t="s">
        <v>2448</v>
      </c>
      <c r="D140" s="484" t="s">
        <v>2449</v>
      </c>
      <c r="E140" s="485" t="s">
        <v>1733</v>
      </c>
      <c r="F140" s="435" t="s">
        <v>706</v>
      </c>
      <c r="G140" s="435" t="s">
        <v>2154</v>
      </c>
      <c r="H140" s="436" t="s">
        <v>2801</v>
      </c>
      <c r="I140" s="486">
        <v>484732</v>
      </c>
      <c r="J140" s="486">
        <v>0</v>
      </c>
      <c r="K140" s="486">
        <v>0</v>
      </c>
      <c r="L140" s="486">
        <v>0</v>
      </c>
      <c r="M140" s="486">
        <v>0</v>
      </c>
      <c r="N140" s="487" t="s">
        <v>1786</v>
      </c>
      <c r="O140" s="486">
        <f t="shared" si="17"/>
        <v>484732</v>
      </c>
    </row>
    <row r="141" spans="1:15" s="440" customFormat="1" ht="150" x14ac:dyDescent="0.2">
      <c r="A141" s="438">
        <v>4</v>
      </c>
      <c r="B141" s="437" t="s">
        <v>2455</v>
      </c>
      <c r="C141" s="439" t="s">
        <v>2462</v>
      </c>
      <c r="D141" s="484" t="s">
        <v>2463</v>
      </c>
      <c r="E141" s="485" t="s">
        <v>1704</v>
      </c>
      <c r="F141" s="435" t="s">
        <v>706</v>
      </c>
      <c r="G141" s="435" t="s">
        <v>2461</v>
      </c>
      <c r="H141" s="436" t="s">
        <v>2464</v>
      </c>
      <c r="I141" s="486">
        <v>13500</v>
      </c>
      <c r="J141" s="486">
        <v>0</v>
      </c>
      <c r="K141" s="486">
        <v>0</v>
      </c>
      <c r="L141" s="486">
        <v>6750</v>
      </c>
      <c r="M141" s="486">
        <v>6750</v>
      </c>
      <c r="N141" s="487"/>
      <c r="O141" s="486">
        <f t="shared" si="17"/>
        <v>0</v>
      </c>
    </row>
    <row r="142" spans="1:15" s="440" customFormat="1" ht="243.75" x14ac:dyDescent="0.2">
      <c r="A142" s="438">
        <v>5</v>
      </c>
      <c r="B142" s="437" t="s">
        <v>2571</v>
      </c>
      <c r="C142" s="439" t="s">
        <v>2572</v>
      </c>
      <c r="D142" s="484" t="s">
        <v>2573</v>
      </c>
      <c r="E142" s="485" t="s">
        <v>1704</v>
      </c>
      <c r="F142" s="435" t="s">
        <v>706</v>
      </c>
      <c r="G142" s="435" t="s">
        <v>2461</v>
      </c>
      <c r="H142" s="436" t="s">
        <v>2802</v>
      </c>
      <c r="I142" s="486">
        <v>60000</v>
      </c>
      <c r="J142" s="486">
        <v>0</v>
      </c>
      <c r="K142" s="486">
        <v>0</v>
      </c>
      <c r="L142" s="486">
        <v>0</v>
      </c>
      <c r="M142" s="486">
        <v>0</v>
      </c>
      <c r="N142" s="487" t="s">
        <v>2182</v>
      </c>
      <c r="O142" s="486">
        <f t="shared" si="17"/>
        <v>60000</v>
      </c>
    </row>
    <row r="143" spans="1:15" s="440" customFormat="1" ht="131.25" x14ac:dyDescent="0.2">
      <c r="A143" s="438">
        <v>6</v>
      </c>
      <c r="B143" s="437" t="s">
        <v>2819</v>
      </c>
      <c r="C143" s="439" t="s">
        <v>2820</v>
      </c>
      <c r="D143" s="484" t="s">
        <v>2821</v>
      </c>
      <c r="E143" s="485" t="s">
        <v>1733</v>
      </c>
      <c r="F143" s="435" t="s">
        <v>706</v>
      </c>
      <c r="G143" s="435" t="s">
        <v>1763</v>
      </c>
      <c r="H143" s="436" t="s">
        <v>2898</v>
      </c>
      <c r="I143" s="486">
        <v>935800</v>
      </c>
      <c r="J143" s="486">
        <v>0</v>
      </c>
      <c r="K143" s="486">
        <v>0</v>
      </c>
      <c r="L143" s="486">
        <v>0</v>
      </c>
      <c r="M143" s="486">
        <v>0</v>
      </c>
      <c r="N143" s="487" t="s">
        <v>1786</v>
      </c>
      <c r="O143" s="486">
        <f t="shared" si="17"/>
        <v>935800</v>
      </c>
    </row>
    <row r="144" spans="1:15" s="440" customFormat="1" x14ac:dyDescent="0.2">
      <c r="A144" s="441" t="s">
        <v>923</v>
      </c>
      <c r="B144" s="389"/>
      <c r="C144" s="390"/>
      <c r="D144" s="482"/>
      <c r="E144" s="388"/>
      <c r="F144" s="391"/>
      <c r="G144" s="391"/>
      <c r="H144" s="392"/>
      <c r="I144" s="393">
        <f>SUM(I145)</f>
        <v>309000</v>
      </c>
      <c r="J144" s="393">
        <f t="shared" ref="J144:O144" si="18">SUM(J145)</f>
        <v>0</v>
      </c>
      <c r="K144" s="393">
        <f t="shared" si="18"/>
        <v>0</v>
      </c>
      <c r="L144" s="393">
        <f t="shared" si="18"/>
        <v>0</v>
      </c>
      <c r="M144" s="393">
        <f t="shared" si="18"/>
        <v>0</v>
      </c>
      <c r="N144" s="393"/>
      <c r="O144" s="393">
        <f t="shared" si="18"/>
        <v>309000</v>
      </c>
    </row>
    <row r="145" spans="1:15" s="440" customFormat="1" ht="131.25" x14ac:dyDescent="0.2">
      <c r="A145" s="438">
        <v>1</v>
      </c>
      <c r="B145" s="437" t="s">
        <v>2528</v>
      </c>
      <c r="C145" s="442" t="s">
        <v>2529</v>
      </c>
      <c r="D145" s="484" t="s">
        <v>2530</v>
      </c>
      <c r="E145" s="492" t="s">
        <v>2210</v>
      </c>
      <c r="F145" s="443" t="s">
        <v>923</v>
      </c>
      <c r="G145" s="443" t="s">
        <v>2211</v>
      </c>
      <c r="H145" s="444" t="s">
        <v>2803</v>
      </c>
      <c r="I145" s="486">
        <v>309000</v>
      </c>
      <c r="J145" s="486">
        <v>0</v>
      </c>
      <c r="K145" s="486">
        <v>0</v>
      </c>
      <c r="L145" s="493">
        <v>0</v>
      </c>
      <c r="M145" s="493">
        <v>0</v>
      </c>
      <c r="N145" s="487" t="s">
        <v>1786</v>
      </c>
      <c r="O145" s="486">
        <f>+I145-(SUM(J145:N145))</f>
        <v>309000</v>
      </c>
    </row>
    <row r="146" spans="1:15" s="440" customFormat="1" x14ac:dyDescent="0.2">
      <c r="A146" s="388" t="s">
        <v>2554</v>
      </c>
      <c r="B146" s="389"/>
      <c r="C146" s="390"/>
      <c r="D146" s="482"/>
      <c r="E146" s="388"/>
      <c r="F146" s="391"/>
      <c r="G146" s="391"/>
      <c r="H146" s="392"/>
      <c r="I146" s="393">
        <f>SUM(I147:I153)</f>
        <v>8243330</v>
      </c>
      <c r="J146" s="393">
        <f t="shared" ref="J146:O146" si="19">SUM(J147:J153)</f>
        <v>0</v>
      </c>
      <c r="K146" s="393">
        <f t="shared" si="19"/>
        <v>0</v>
      </c>
      <c r="L146" s="393">
        <f t="shared" si="19"/>
        <v>425000</v>
      </c>
      <c r="M146" s="393">
        <f t="shared" si="19"/>
        <v>127500</v>
      </c>
      <c r="N146" s="393"/>
      <c r="O146" s="393">
        <f t="shared" si="19"/>
        <v>7690830</v>
      </c>
    </row>
    <row r="147" spans="1:15" s="440" customFormat="1" ht="93.75" x14ac:dyDescent="0.2">
      <c r="A147" s="438">
        <v>1</v>
      </c>
      <c r="B147" s="437" t="s">
        <v>2528</v>
      </c>
      <c r="C147" s="439" t="s">
        <v>2529</v>
      </c>
      <c r="D147" s="484" t="s">
        <v>2530</v>
      </c>
      <c r="E147" s="485" t="s">
        <v>1251</v>
      </c>
      <c r="F147" s="435" t="s">
        <v>2659</v>
      </c>
      <c r="G147" s="435" t="s">
        <v>2154</v>
      </c>
      <c r="H147" s="436" t="s">
        <v>2807</v>
      </c>
      <c r="I147" s="486">
        <v>1290960</v>
      </c>
      <c r="J147" s="486">
        <v>0</v>
      </c>
      <c r="K147" s="486">
        <v>0</v>
      </c>
      <c r="L147" s="486">
        <v>0</v>
      </c>
      <c r="M147" s="486">
        <v>0</v>
      </c>
      <c r="N147" s="487" t="s">
        <v>2325</v>
      </c>
      <c r="O147" s="486">
        <f t="shared" ref="O147:O153" si="20">+I147-(SUM(J147:N147))</f>
        <v>1290960</v>
      </c>
    </row>
    <row r="148" spans="1:15" s="440" customFormat="1" ht="112.5" x14ac:dyDescent="0.2">
      <c r="A148" s="438">
        <v>2</v>
      </c>
      <c r="B148" s="437" t="s">
        <v>2591</v>
      </c>
      <c r="C148" s="439" t="s">
        <v>2592</v>
      </c>
      <c r="D148" s="484" t="s">
        <v>2604</v>
      </c>
      <c r="E148" s="485" t="s">
        <v>1251</v>
      </c>
      <c r="F148" s="435" t="s">
        <v>2659</v>
      </c>
      <c r="G148" s="435" t="s">
        <v>1763</v>
      </c>
      <c r="H148" s="436" t="s">
        <v>2808</v>
      </c>
      <c r="I148" s="486">
        <v>1012800</v>
      </c>
      <c r="J148" s="486">
        <v>0</v>
      </c>
      <c r="K148" s="486">
        <v>0</v>
      </c>
      <c r="L148" s="486">
        <v>0</v>
      </c>
      <c r="M148" s="486">
        <v>0</v>
      </c>
      <c r="N148" s="487" t="s">
        <v>2605</v>
      </c>
      <c r="O148" s="486">
        <f t="shared" si="20"/>
        <v>1012800</v>
      </c>
    </row>
    <row r="149" spans="1:15" s="440" customFormat="1" ht="206.25" x14ac:dyDescent="0.2">
      <c r="A149" s="438">
        <v>3</v>
      </c>
      <c r="B149" s="437">
        <v>243773</v>
      </c>
      <c r="C149" s="439" t="s">
        <v>2681</v>
      </c>
      <c r="D149" s="484" t="s">
        <v>2682</v>
      </c>
      <c r="E149" s="485" t="s">
        <v>1251</v>
      </c>
      <c r="F149" s="435" t="s">
        <v>2554</v>
      </c>
      <c r="G149" s="435" t="s">
        <v>1763</v>
      </c>
      <c r="H149" s="436" t="s">
        <v>2899</v>
      </c>
      <c r="I149" s="486">
        <v>171000</v>
      </c>
      <c r="J149" s="486">
        <v>0</v>
      </c>
      <c r="K149" s="486">
        <v>0</v>
      </c>
      <c r="L149" s="486">
        <v>0</v>
      </c>
      <c r="M149" s="486">
        <v>0</v>
      </c>
      <c r="N149" s="487" t="s">
        <v>1786</v>
      </c>
      <c r="O149" s="486">
        <f t="shared" si="20"/>
        <v>171000</v>
      </c>
    </row>
    <row r="150" spans="1:15" s="440" customFormat="1" ht="93.75" x14ac:dyDescent="0.2">
      <c r="A150" s="438">
        <v>4</v>
      </c>
      <c r="B150" s="437">
        <v>243773</v>
      </c>
      <c r="C150" s="439" t="s">
        <v>2683</v>
      </c>
      <c r="D150" s="484" t="s">
        <v>2684</v>
      </c>
      <c r="E150" s="485" t="s">
        <v>1251</v>
      </c>
      <c r="F150" s="435" t="s">
        <v>2554</v>
      </c>
      <c r="G150" s="435" t="s">
        <v>1763</v>
      </c>
      <c r="H150" s="436" t="s">
        <v>2809</v>
      </c>
      <c r="I150" s="486">
        <v>610500</v>
      </c>
      <c r="J150" s="486">
        <v>0</v>
      </c>
      <c r="K150" s="486">
        <v>0</v>
      </c>
      <c r="L150" s="486">
        <v>0</v>
      </c>
      <c r="M150" s="486">
        <v>0</v>
      </c>
      <c r="N150" s="487" t="s">
        <v>1786</v>
      </c>
      <c r="O150" s="486">
        <f t="shared" si="20"/>
        <v>610500</v>
      </c>
    </row>
    <row r="151" spans="1:15" s="440" customFormat="1" ht="131.25" x14ac:dyDescent="0.2">
      <c r="A151" s="438">
        <v>5</v>
      </c>
      <c r="B151" s="437" t="s">
        <v>2703</v>
      </c>
      <c r="C151" s="439" t="s">
        <v>2708</v>
      </c>
      <c r="D151" s="484" t="s">
        <v>2709</v>
      </c>
      <c r="E151" s="485" t="s">
        <v>1251</v>
      </c>
      <c r="F151" s="435" t="s">
        <v>2659</v>
      </c>
      <c r="G151" s="435" t="s">
        <v>1763</v>
      </c>
      <c r="H151" s="436" t="s">
        <v>2810</v>
      </c>
      <c r="I151" s="486">
        <v>620000</v>
      </c>
      <c r="J151" s="486">
        <v>0</v>
      </c>
      <c r="K151" s="486">
        <v>0</v>
      </c>
      <c r="L151" s="486">
        <v>425000</v>
      </c>
      <c r="M151" s="486">
        <v>127500</v>
      </c>
      <c r="N151" s="487"/>
      <c r="O151" s="486">
        <f t="shared" si="20"/>
        <v>67500</v>
      </c>
    </row>
    <row r="152" spans="1:15" s="440" customFormat="1" ht="225" x14ac:dyDescent="0.2">
      <c r="A152" s="438">
        <v>6</v>
      </c>
      <c r="B152" s="437" t="s">
        <v>2819</v>
      </c>
      <c r="C152" s="439" t="s">
        <v>2820</v>
      </c>
      <c r="D152" s="484" t="s">
        <v>2821</v>
      </c>
      <c r="E152" s="485" t="s">
        <v>1251</v>
      </c>
      <c r="F152" s="435" t="s">
        <v>2659</v>
      </c>
      <c r="G152" s="435" t="s">
        <v>1763</v>
      </c>
      <c r="H152" s="436" t="s">
        <v>2900</v>
      </c>
      <c r="I152" s="486">
        <v>4338070</v>
      </c>
      <c r="J152" s="486">
        <v>0</v>
      </c>
      <c r="K152" s="486">
        <v>0</v>
      </c>
      <c r="L152" s="486">
        <v>0</v>
      </c>
      <c r="M152" s="486">
        <v>0</v>
      </c>
      <c r="N152" s="487" t="s">
        <v>1786</v>
      </c>
      <c r="O152" s="486">
        <f t="shared" si="20"/>
        <v>4338070</v>
      </c>
    </row>
    <row r="153" spans="1:15" s="440" customFormat="1" ht="187.5" x14ac:dyDescent="0.2">
      <c r="A153" s="438">
        <v>7</v>
      </c>
      <c r="B153" s="437" t="s">
        <v>2870</v>
      </c>
      <c r="C153" s="439" t="s">
        <v>2901</v>
      </c>
      <c r="D153" s="484" t="s">
        <v>2902</v>
      </c>
      <c r="E153" s="485" t="s">
        <v>1251</v>
      </c>
      <c r="F153" s="435" t="s">
        <v>2554</v>
      </c>
      <c r="G153" s="435" t="s">
        <v>1763</v>
      </c>
      <c r="H153" s="436" t="s">
        <v>2903</v>
      </c>
      <c r="I153" s="486">
        <v>200000</v>
      </c>
      <c r="J153" s="486">
        <v>0</v>
      </c>
      <c r="K153" s="486">
        <v>0</v>
      </c>
      <c r="L153" s="486">
        <v>0</v>
      </c>
      <c r="M153" s="486">
        <v>0</v>
      </c>
      <c r="N153" s="487" t="s">
        <v>1786</v>
      </c>
      <c r="O153" s="486">
        <f t="shared" si="20"/>
        <v>200000</v>
      </c>
    </row>
    <row r="154" spans="1:15" s="440" customFormat="1" x14ac:dyDescent="0.2">
      <c r="A154" s="388" t="s">
        <v>2149</v>
      </c>
      <c r="B154" s="389"/>
      <c r="C154" s="445"/>
      <c r="D154" s="482"/>
      <c r="E154" s="441"/>
      <c r="F154" s="446"/>
      <c r="G154" s="446"/>
      <c r="H154" s="447"/>
      <c r="I154" s="393">
        <f>SUM(I155:I157)</f>
        <v>684000</v>
      </c>
      <c r="J154" s="393">
        <f t="shared" ref="J154:O154" si="21">SUM(J155:J157)</f>
        <v>34200</v>
      </c>
      <c r="K154" s="393">
        <f t="shared" si="21"/>
        <v>34200</v>
      </c>
      <c r="L154" s="393">
        <f t="shared" si="21"/>
        <v>0</v>
      </c>
      <c r="M154" s="393">
        <f t="shared" si="21"/>
        <v>0</v>
      </c>
      <c r="N154" s="393"/>
      <c r="O154" s="393">
        <f t="shared" si="21"/>
        <v>615600</v>
      </c>
    </row>
    <row r="155" spans="1:15" s="440" customFormat="1" ht="93.75" x14ac:dyDescent="0.2">
      <c r="A155" s="438">
        <v>1</v>
      </c>
      <c r="B155" s="437" t="s">
        <v>2455</v>
      </c>
      <c r="C155" s="439" t="s">
        <v>2465</v>
      </c>
      <c r="D155" s="484" t="s">
        <v>2466</v>
      </c>
      <c r="E155" s="485" t="s">
        <v>2421</v>
      </c>
      <c r="F155" s="435" t="s">
        <v>2149</v>
      </c>
      <c r="G155" s="435" t="s">
        <v>2422</v>
      </c>
      <c r="H155" s="436" t="s">
        <v>2804</v>
      </c>
      <c r="I155" s="486">
        <v>100000</v>
      </c>
      <c r="J155" s="486">
        <v>5000</v>
      </c>
      <c r="K155" s="486">
        <v>5000</v>
      </c>
      <c r="L155" s="486">
        <v>0</v>
      </c>
      <c r="M155" s="486">
        <v>0</v>
      </c>
      <c r="N155" s="489"/>
      <c r="O155" s="486">
        <f>+I155-(SUM(J155:N155))</f>
        <v>90000</v>
      </c>
    </row>
    <row r="156" spans="1:15" s="440" customFormat="1" ht="168.75" x14ac:dyDescent="0.2">
      <c r="A156" s="438">
        <v>2</v>
      </c>
      <c r="B156" s="437" t="s">
        <v>2490</v>
      </c>
      <c r="C156" s="439" t="s">
        <v>2491</v>
      </c>
      <c r="D156" s="484" t="s">
        <v>2492</v>
      </c>
      <c r="E156" s="485" t="s">
        <v>2219</v>
      </c>
      <c r="F156" s="435" t="s">
        <v>2149</v>
      </c>
      <c r="G156" s="435" t="s">
        <v>2220</v>
      </c>
      <c r="H156" s="436" t="s">
        <v>2805</v>
      </c>
      <c r="I156" s="486">
        <v>234000</v>
      </c>
      <c r="J156" s="486">
        <v>11700</v>
      </c>
      <c r="K156" s="486">
        <v>11700</v>
      </c>
      <c r="L156" s="486">
        <v>0</v>
      </c>
      <c r="M156" s="486">
        <v>0</v>
      </c>
      <c r="N156" s="489"/>
      <c r="O156" s="486">
        <f>+I156-(SUM(J156:N156))</f>
        <v>210600</v>
      </c>
    </row>
    <row r="157" spans="1:15" s="440" customFormat="1" ht="93.75" x14ac:dyDescent="0.2">
      <c r="A157" s="438">
        <v>3</v>
      </c>
      <c r="B157" s="437" t="s">
        <v>2571</v>
      </c>
      <c r="C157" s="439" t="s">
        <v>2574</v>
      </c>
      <c r="D157" s="484" t="s">
        <v>2575</v>
      </c>
      <c r="E157" s="485" t="s">
        <v>2421</v>
      </c>
      <c r="F157" s="435" t="s">
        <v>2149</v>
      </c>
      <c r="G157" s="435" t="s">
        <v>2422</v>
      </c>
      <c r="H157" s="436" t="s">
        <v>2806</v>
      </c>
      <c r="I157" s="486">
        <v>350000</v>
      </c>
      <c r="J157" s="486">
        <v>17500</v>
      </c>
      <c r="K157" s="486">
        <v>17500</v>
      </c>
      <c r="L157" s="486">
        <v>0</v>
      </c>
      <c r="M157" s="486">
        <v>0</v>
      </c>
      <c r="N157" s="489"/>
      <c r="O157" s="486">
        <f>+I157-(SUM(J157:N157))</f>
        <v>315000</v>
      </c>
    </row>
    <row r="158" spans="1:15" s="440" customFormat="1" x14ac:dyDescent="0.2">
      <c r="A158" s="388" t="s">
        <v>2467</v>
      </c>
      <c r="B158" s="389"/>
      <c r="C158" s="390"/>
      <c r="D158" s="482"/>
      <c r="E158" s="388"/>
      <c r="F158" s="391"/>
      <c r="G158" s="391"/>
      <c r="H158" s="392"/>
      <c r="I158" s="393">
        <f>SUM(I159:I161)</f>
        <v>1185800</v>
      </c>
      <c r="J158" s="393">
        <f t="shared" ref="J158:O158" si="22">SUM(J159:J161)</f>
        <v>0</v>
      </c>
      <c r="K158" s="393">
        <f t="shared" si="22"/>
        <v>0</v>
      </c>
      <c r="L158" s="393">
        <f t="shared" si="22"/>
        <v>0</v>
      </c>
      <c r="M158" s="393">
        <f t="shared" si="22"/>
        <v>0</v>
      </c>
      <c r="N158" s="393"/>
      <c r="O158" s="393">
        <f t="shared" si="22"/>
        <v>1185800</v>
      </c>
    </row>
    <row r="159" spans="1:15" s="440" customFormat="1" ht="75" x14ac:dyDescent="0.2">
      <c r="A159" s="438">
        <v>1</v>
      </c>
      <c r="B159" s="437" t="s">
        <v>2478</v>
      </c>
      <c r="C159" s="439" t="s">
        <v>2493</v>
      </c>
      <c r="D159" s="484" t="s">
        <v>2494</v>
      </c>
      <c r="E159" s="485" t="s">
        <v>2223</v>
      </c>
      <c r="F159" s="435" t="s">
        <v>2467</v>
      </c>
      <c r="G159" s="435" t="s">
        <v>2154</v>
      </c>
      <c r="H159" s="436" t="s">
        <v>2811</v>
      </c>
      <c r="I159" s="486">
        <v>205000</v>
      </c>
      <c r="J159" s="486">
        <v>0</v>
      </c>
      <c r="K159" s="486">
        <v>0</v>
      </c>
      <c r="L159" s="486">
        <v>0</v>
      </c>
      <c r="M159" s="486">
        <v>0</v>
      </c>
      <c r="N159" s="487" t="s">
        <v>1786</v>
      </c>
      <c r="O159" s="486">
        <f>+I159-(SUM(J159:N159))</f>
        <v>205000</v>
      </c>
    </row>
    <row r="160" spans="1:15" s="440" customFormat="1" ht="131.25" x14ac:dyDescent="0.2">
      <c r="A160" s="438">
        <v>2</v>
      </c>
      <c r="B160" s="437" t="s">
        <v>2528</v>
      </c>
      <c r="C160" s="439" t="s">
        <v>2529</v>
      </c>
      <c r="D160" s="484" t="s">
        <v>2530</v>
      </c>
      <c r="E160" s="485" t="s">
        <v>2224</v>
      </c>
      <c r="F160" s="435" t="s">
        <v>2467</v>
      </c>
      <c r="G160" s="435" t="s">
        <v>2154</v>
      </c>
      <c r="H160" s="436" t="s">
        <v>2812</v>
      </c>
      <c r="I160" s="486">
        <v>545800</v>
      </c>
      <c r="J160" s="486">
        <v>0</v>
      </c>
      <c r="K160" s="486">
        <v>0</v>
      </c>
      <c r="L160" s="486">
        <v>0</v>
      </c>
      <c r="M160" s="486">
        <v>0</v>
      </c>
      <c r="N160" s="487" t="s">
        <v>2325</v>
      </c>
      <c r="O160" s="486">
        <f>+I160-(SUM(J160:N160))</f>
        <v>545800</v>
      </c>
    </row>
    <row r="161" spans="1:15" s="440" customFormat="1" ht="187.5" x14ac:dyDescent="0.2">
      <c r="A161" s="438">
        <v>3</v>
      </c>
      <c r="B161" s="437" t="s">
        <v>2836</v>
      </c>
      <c r="C161" s="439" t="s">
        <v>2874</v>
      </c>
      <c r="D161" s="484" t="s">
        <v>2875</v>
      </c>
      <c r="E161" s="485" t="s">
        <v>2223</v>
      </c>
      <c r="F161" s="435" t="s">
        <v>2467</v>
      </c>
      <c r="G161" s="435" t="s">
        <v>2876</v>
      </c>
      <c r="H161" s="436" t="s">
        <v>2904</v>
      </c>
      <c r="I161" s="486">
        <v>435000</v>
      </c>
      <c r="J161" s="486">
        <v>0</v>
      </c>
      <c r="K161" s="486">
        <v>0</v>
      </c>
      <c r="L161" s="486">
        <v>0</v>
      </c>
      <c r="M161" s="486">
        <v>0</v>
      </c>
      <c r="N161" s="487" t="s">
        <v>1786</v>
      </c>
      <c r="O161" s="486">
        <f>+I161-(SUM(J161:N161))</f>
        <v>435000</v>
      </c>
    </row>
    <row r="162" spans="1:15" s="440" customFormat="1" x14ac:dyDescent="0.2">
      <c r="A162" s="388" t="s">
        <v>2555</v>
      </c>
      <c r="B162" s="389"/>
      <c r="C162" s="390"/>
      <c r="D162" s="482"/>
      <c r="E162" s="388"/>
      <c r="F162" s="391"/>
      <c r="G162" s="391"/>
      <c r="H162" s="392"/>
      <c r="I162" s="393">
        <f>SUM(I163)</f>
        <v>4407293.5</v>
      </c>
      <c r="J162" s="393">
        <f t="shared" ref="J162:O162" si="23">SUM(J163)</f>
        <v>0</v>
      </c>
      <c r="K162" s="393">
        <f t="shared" si="23"/>
        <v>0</v>
      </c>
      <c r="L162" s="393">
        <f t="shared" si="23"/>
        <v>0</v>
      </c>
      <c r="M162" s="393">
        <f t="shared" si="23"/>
        <v>0</v>
      </c>
      <c r="N162" s="393"/>
      <c r="O162" s="393">
        <f t="shared" si="23"/>
        <v>4407293.5</v>
      </c>
    </row>
    <row r="163" spans="1:15" s="440" customFormat="1" ht="150" x14ac:dyDescent="0.2">
      <c r="A163" s="438">
        <v>1</v>
      </c>
      <c r="B163" s="437" t="s">
        <v>2566</v>
      </c>
      <c r="C163" s="439" t="s">
        <v>2576</v>
      </c>
      <c r="D163" s="484" t="s">
        <v>2577</v>
      </c>
      <c r="E163" s="485" t="s">
        <v>2578</v>
      </c>
      <c r="F163" s="435" t="s">
        <v>2555</v>
      </c>
      <c r="G163" s="435" t="s">
        <v>930</v>
      </c>
      <c r="H163" s="436" t="s">
        <v>2813</v>
      </c>
      <c r="I163" s="486">
        <v>4407293.5</v>
      </c>
      <c r="J163" s="486">
        <v>0</v>
      </c>
      <c r="K163" s="486">
        <v>0</v>
      </c>
      <c r="L163" s="486">
        <v>0</v>
      </c>
      <c r="M163" s="486">
        <v>0</v>
      </c>
      <c r="N163" s="487" t="s">
        <v>2579</v>
      </c>
      <c r="O163" s="486">
        <f>+I163-(SUM(J163:N163))</f>
        <v>4407293.5</v>
      </c>
    </row>
    <row r="164" spans="1:15" s="386" customFormat="1" ht="26.25" customHeight="1" thickBot="1" x14ac:dyDescent="0.5">
      <c r="A164" s="665" t="s">
        <v>1919</v>
      </c>
      <c r="B164" s="666"/>
      <c r="C164" s="666"/>
      <c r="D164" s="666"/>
      <c r="E164" s="666"/>
      <c r="F164" s="666"/>
      <c r="G164" s="666"/>
      <c r="H164" s="667"/>
      <c r="I164" s="495">
        <f>SUM(I8+I16+I26+I30+I55+I59+I97+I102+I114+I135+I137+I146+I144+I154+I158+I162)</f>
        <v>51156312.100000001</v>
      </c>
      <c r="J164" s="496">
        <f t="shared" ref="J164:O164" si="24">SUM(J8+J16+J26+J30+J55+J59+J97+J102+J114+J135+J137+J146+J144+J154+J158+J162)</f>
        <v>765630.598</v>
      </c>
      <c r="K164" s="496">
        <f t="shared" si="24"/>
        <v>765630.598</v>
      </c>
      <c r="L164" s="497">
        <f t="shared" si="24"/>
        <v>957954</v>
      </c>
      <c r="M164" s="497">
        <f t="shared" si="24"/>
        <v>957954</v>
      </c>
      <c r="N164" s="497"/>
      <c r="O164" s="498">
        <f t="shared" si="24"/>
        <v>47709142.903999999</v>
      </c>
    </row>
    <row r="166" spans="1:15" x14ac:dyDescent="0.4">
      <c r="J166" s="369"/>
      <c r="K166" s="369"/>
      <c r="L166" s="369"/>
      <c r="M166" s="369"/>
      <c r="N166" s="494"/>
      <c r="O166" s="369"/>
    </row>
    <row r="167" spans="1:15" x14ac:dyDescent="0.4">
      <c r="J167" s="369"/>
      <c r="K167" s="369"/>
      <c r="L167" s="369"/>
      <c r="M167" s="369"/>
      <c r="N167" s="369"/>
      <c r="O167" s="369"/>
    </row>
  </sheetData>
  <mergeCells count="18">
    <mergeCell ref="G6:G7"/>
    <mergeCell ref="H6:H7"/>
    <mergeCell ref="A164:H164"/>
    <mergeCell ref="I6:I7"/>
    <mergeCell ref="J6:K6"/>
    <mergeCell ref="A1:O1"/>
    <mergeCell ref="A2:O2"/>
    <mergeCell ref="A3:O3"/>
    <mergeCell ref="A5:A7"/>
    <mergeCell ref="B5:I5"/>
    <mergeCell ref="J5:N5"/>
    <mergeCell ref="O5:O7"/>
    <mergeCell ref="B6:B7"/>
    <mergeCell ref="C6:C7"/>
    <mergeCell ref="D6:D7"/>
    <mergeCell ref="L6:N6"/>
    <mergeCell ref="E6:E7"/>
    <mergeCell ref="F6: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ปีงปม.69สรุป100%(ณ31มีค69)</vt:lpstr>
      <vt:lpstr>ปีงปม.69สรุป(ณ31มีค69)</vt:lpstr>
      <vt:lpstr>ปีงปม.69รายละเอียด(ณ31มีค69)</vt:lpstr>
      <vt:lpstr>ปีงปม.68สรุป100%</vt:lpstr>
      <vt:lpstr>ปีงปม.68สรุป</vt:lpstr>
      <vt:lpstr>ปีงปม.68รายละเอียด</vt:lpstr>
      <vt:lpstr>ปีงปม.67สรุป100%</vt:lpstr>
      <vt:lpstr>ปีงปม.67สรุป</vt:lpstr>
      <vt:lpstr>ปีงปม.67รายละเอียด</vt:lpstr>
      <vt:lpstr>ปีงปม.66สรุป</vt:lpstr>
      <vt:lpstr>ปีงปม.66รายละเอียด</vt:lpstr>
      <vt:lpstr>ปีงปม.65สรุป</vt:lpstr>
      <vt:lpstr>ปีงปม.65รายละเอียด</vt:lpstr>
      <vt:lpstr>ปีงปม.64สรุป</vt:lpstr>
      <vt:lpstr>ปีงปม.64 รายละเอียด</vt:lpstr>
      <vt:lpstr>ปีงปม.63</vt:lpstr>
      <vt:lpstr>ปีงปม.62</vt:lpstr>
      <vt:lpstr>ปีงปม.61</vt:lpstr>
      <vt:lpstr>ปีงปม.60</vt:lpstr>
      <vt:lpstr>ปีงปม.59</vt:lpstr>
      <vt:lpstr>ปีงปม.58</vt:lpstr>
      <vt:lpstr>เริ่มเก็บ22กย57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2025-11-21T04:20:25Z</cp:lastPrinted>
  <dcterms:created xsi:type="dcterms:W3CDTF">2021-12-20T09:07:09Z</dcterms:created>
  <dcterms:modified xsi:type="dcterms:W3CDTF">2026-04-09T08:50:52Z</dcterms:modified>
</cp:coreProperties>
</file>